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P:\1.DOspécifique\1. TABLEAUX DE BORD\MAI\"/>
    </mc:Choice>
  </mc:AlternateContent>
  <xr:revisionPtr revIDLastSave="0" documentId="13_ncr:1_{2FA9FE42-4C5D-46D7-9370-C931B38D0320}" xr6:coauthVersionLast="45" xr6:coauthVersionMax="45" xr10:uidLastSave="{00000000-0000-0000-0000-000000000000}"/>
  <bookViews>
    <workbookView xWindow="-120" yWindow="-120" windowWidth="20730" windowHeight="11160" tabRatio="687" xr2:uid="{00000000-000D-0000-FFFF-FFFF00000000}"/>
  </bookViews>
  <sheets>
    <sheet name="TDB" sheetId="1" r:id="rId1"/>
    <sheet name="Notice explication" sheetId="2" r:id="rId2"/>
    <sheet name="Indicateurs Ressources" sheetId="4" r:id="rId3"/>
    <sheet name="TCD PArtenariats" sheetId="7" r:id="rId4"/>
    <sheet name="Partenariats" sheetId="5" r:id="rId5"/>
  </sheets>
  <definedNames>
    <definedName name="_xlnm.Print_Area" localSheetId="0">TDB!$A$1:$AJ$57</definedName>
  </definedNames>
  <calcPr calcId="181029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U33" i="1" l="1"/>
  <c r="V33" i="1"/>
  <c r="T33" i="1"/>
  <c r="S33" i="1"/>
  <c r="D42" i="5"/>
  <c r="H42" i="5"/>
  <c r="D49" i="5"/>
  <c r="H11" i="5"/>
  <c r="H4" i="5"/>
  <c r="H47" i="5"/>
  <c r="H45" i="5"/>
  <c r="H46" i="5"/>
  <c r="D46" i="5"/>
  <c r="H44" i="5"/>
  <c r="D44" i="5"/>
  <c r="H36" i="5"/>
  <c r="D36" i="5"/>
  <c r="H33" i="5"/>
  <c r="H32" i="5"/>
  <c r="H40" i="5"/>
  <c r="H43" i="5"/>
  <c r="D43" i="5"/>
  <c r="H41" i="5"/>
  <c r="D41" i="5"/>
  <c r="H35" i="5"/>
  <c r="D35" i="5"/>
  <c r="H39" i="5"/>
  <c r="H38" i="5"/>
  <c r="D38" i="5"/>
  <c r="H21" i="5"/>
  <c r="D21" i="5"/>
  <c r="H29" i="5"/>
  <c r="D29" i="5"/>
  <c r="H24" i="5"/>
  <c r="D24" i="5"/>
  <c r="H27" i="5"/>
  <c r="D27" i="5"/>
  <c r="H26" i="5"/>
  <c r="D26" i="5"/>
  <c r="H25" i="5"/>
  <c r="D25" i="5"/>
  <c r="H18" i="5"/>
  <c r="H20" i="5"/>
  <c r="D20" i="5"/>
  <c r="H37" i="5"/>
  <c r="D37" i="5"/>
  <c r="H34" i="5"/>
  <c r="F34" i="5"/>
  <c r="D34" i="5"/>
  <c r="H30" i="5"/>
  <c r="D30" i="5"/>
  <c r="H31" i="5"/>
  <c r="D31" i="5"/>
  <c r="H28" i="5"/>
  <c r="D28" i="5"/>
  <c r="H23" i="5"/>
  <c r="F23" i="5"/>
  <c r="E23" i="5"/>
  <c r="H22" i="5"/>
  <c r="D22" i="5"/>
  <c r="H17" i="5"/>
  <c r="F17" i="5"/>
  <c r="D17" i="5"/>
  <c r="H19" i="5"/>
  <c r="D19" i="5"/>
  <c r="H16" i="5"/>
  <c r="H50" i="5"/>
  <c r="D50" i="5"/>
  <c r="H49" i="5"/>
  <c r="H48" i="5"/>
  <c r="F48" i="5"/>
  <c r="D48" i="5"/>
  <c r="H15" i="5"/>
  <c r="D15" i="5"/>
  <c r="H13" i="5"/>
  <c r="F13" i="5"/>
  <c r="D13" i="5"/>
  <c r="H12" i="5"/>
  <c r="F12" i="5"/>
  <c r="D12" i="5"/>
  <c r="H14" i="5"/>
  <c r="D14" i="5"/>
  <c r="C10" i="5"/>
  <c r="H10" i="5"/>
  <c r="C9" i="5"/>
  <c r="H9" i="5"/>
  <c r="H8" i="5"/>
  <c r="F8" i="5"/>
  <c r="D8" i="5"/>
  <c r="H7" i="5"/>
  <c r="H6" i="5"/>
  <c r="H5" i="5"/>
  <c r="H3" i="5"/>
  <c r="D3" i="5"/>
  <c r="C2" i="5"/>
  <c r="F2" i="5"/>
  <c r="D2" i="5"/>
  <c r="H21" i="4"/>
  <c r="G21" i="4"/>
  <c r="F21" i="4"/>
  <c r="E21" i="4"/>
  <c r="H20" i="4"/>
  <c r="G20" i="4"/>
  <c r="F20" i="4"/>
  <c r="E20" i="4"/>
  <c r="H19" i="4"/>
  <c r="G19" i="4"/>
  <c r="F19" i="4"/>
  <c r="E19" i="4"/>
  <c r="H18" i="4"/>
  <c r="G18" i="4"/>
  <c r="F18" i="4"/>
  <c r="E18" i="4"/>
  <c r="H17" i="4"/>
  <c r="G17" i="4"/>
  <c r="F17" i="4"/>
  <c r="E17" i="4"/>
  <c r="H16" i="4"/>
  <c r="G16" i="4"/>
  <c r="F16" i="4"/>
  <c r="E16" i="4"/>
  <c r="H15" i="4"/>
  <c r="G15" i="4"/>
  <c r="F15" i="4"/>
  <c r="E15" i="4"/>
  <c r="H14" i="4"/>
  <c r="G14" i="4"/>
  <c r="F14" i="4"/>
  <c r="E14" i="4"/>
  <c r="H13" i="4"/>
  <c r="G13" i="4"/>
  <c r="F13" i="4"/>
  <c r="E13" i="4"/>
  <c r="H12" i="4"/>
  <c r="G12" i="4"/>
  <c r="F12" i="4"/>
  <c r="E12" i="4"/>
  <c r="H11" i="4"/>
  <c r="G11" i="4"/>
  <c r="F11" i="4"/>
  <c r="E11" i="4"/>
  <c r="H10" i="4"/>
  <c r="G10" i="4"/>
  <c r="F10" i="4"/>
  <c r="E10" i="4"/>
  <c r="H9" i="4"/>
  <c r="G9" i="4"/>
  <c r="F9" i="4"/>
  <c r="E9" i="4"/>
  <c r="H8" i="4"/>
  <c r="G8" i="4"/>
  <c r="F8" i="4"/>
  <c r="E8" i="4"/>
  <c r="H7" i="4"/>
  <c r="G7" i="4"/>
  <c r="F7" i="4"/>
  <c r="E7" i="4"/>
  <c r="V6" i="4"/>
  <c r="U6" i="4"/>
  <c r="T6" i="4"/>
  <c r="S6" i="4"/>
  <c r="R6" i="4"/>
  <c r="Q6" i="4"/>
  <c r="P6" i="4"/>
  <c r="O6" i="4"/>
  <c r="N6" i="4"/>
  <c r="H6" i="4"/>
  <c r="G6" i="4"/>
  <c r="F6" i="4"/>
  <c r="E6" i="4"/>
  <c r="H5" i="4"/>
  <c r="G5" i="4"/>
  <c r="F5" i="4"/>
  <c r="E5" i="4"/>
  <c r="H3" i="4"/>
  <c r="G3" i="4"/>
  <c r="F3" i="4"/>
  <c r="R32" i="1"/>
  <c r="D5" i="1"/>
  <c r="E5" i="1"/>
  <c r="F5" i="1"/>
  <c r="G5" i="1"/>
  <c r="D4" i="1"/>
  <c r="E4" i="1"/>
  <c r="F4" i="1"/>
  <c r="G4" i="1"/>
  <c r="R3" i="1"/>
  <c r="S3" i="1"/>
  <c r="T3" i="1"/>
  <c r="U3" i="1"/>
  <c r="V3" i="1"/>
  <c r="W3" i="1"/>
  <c r="X3" i="1"/>
  <c r="Y3" i="1"/>
  <c r="Z3" i="1"/>
  <c r="AA3" i="1"/>
  <c r="AB3" i="1"/>
  <c r="D3" i="1"/>
  <c r="E3" i="1"/>
  <c r="F3" i="1"/>
  <c r="G3" i="1"/>
  <c r="H3" i="1"/>
  <c r="I3" i="1"/>
  <c r="J3" i="1"/>
  <c r="K3" i="1"/>
  <c r="L3" i="1"/>
  <c r="M3" i="1"/>
  <c r="N3" i="1"/>
  <c r="H2" i="5"/>
  <c r="D9" i="5"/>
  <c r="D10" i="5"/>
  <c r="D23" i="5"/>
  <c r="F6" i="5" l="1"/>
  <c r="E39" i="5"/>
  <c r="F47" i="5"/>
  <c r="F5" i="5"/>
  <c r="F45" i="5"/>
  <c r="F18" i="5"/>
  <c r="F1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tc={D4BF7744-1B2F-432F-999E-E3562BC808AE}</author>
  </authors>
  <commentList>
    <comment ref="E3" authorId="0" shapeId="0" xr:uid="{D4BF7744-1B2F-432F-999E-E3562BC808AE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Seule date à renseigner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CAMELEON</author>
  </authors>
  <commentList>
    <comment ref="C2" authorId="0" shapeId="0" xr:uid="{6571FEEB-EE18-4F74-8231-CFE7CB618335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Subvention attendue de 300 000 sur 18 mois à partir du 1/09/2019, donc le versement attendu est de 4mois+12mois sur 18mois</t>
        </r>
      </text>
    </comment>
    <comment ref="C3" authorId="0" shapeId="0" xr:uid="{83CDB43A-3FCB-494F-9552-99782524D68F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rendre rapport</t>
        </r>
      </text>
    </comment>
    <comment ref="B9" authorId="0" shapeId="0" xr:uid="{AE1590F0-E635-4354-997C-B381299D004B}">
      <text>
        <r>
          <rPr>
            <b/>
            <sz val="9"/>
            <color indexed="81"/>
            <rFont val="Tahoma"/>
            <charset val="1"/>
          </rPr>
          <t>CAMELEON:</t>
        </r>
        <r>
          <rPr>
            <sz val="9"/>
            <color indexed="81"/>
            <rFont val="Tahoma"/>
            <charset val="1"/>
          </rPr>
          <t xml:space="preserve">
Nouveau</t>
        </r>
      </text>
    </comment>
    <comment ref="B10" authorId="0" shapeId="0" xr:uid="{46B7DDBE-7EE2-4E53-B5FF-2F62B0690ACE}">
      <text>
        <r>
          <rPr>
            <b/>
            <sz val="9"/>
            <color indexed="81"/>
            <rFont val="Tahoma"/>
            <charset val="1"/>
          </rPr>
          <t>CAMELEON:</t>
        </r>
        <r>
          <rPr>
            <sz val="9"/>
            <color indexed="81"/>
            <rFont val="Tahoma"/>
            <charset val="1"/>
          </rPr>
          <t xml:space="preserve">
nouveau MAE 2020
</t>
        </r>
      </text>
    </comment>
    <comment ref="C14" authorId="0" shapeId="0" xr:uid="{EC87ACC8-5028-47FE-9F6E-9DB774AFF1EC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Une partie européenne 
de la Contrepartie de MAE LUX sur NEGROS soit 150000</t>
        </r>
      </text>
    </comment>
    <comment ref="C23" authorId="0" shapeId="0" xr:uid="{D293383C-24EB-4295-BC1C-A0D1DDE0A202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Pas dans budget dégradé covid</t>
        </r>
      </text>
    </comment>
    <comment ref="C26" authorId="0" shapeId="0" xr:uid="{584B93F1-94D9-4371-A837-999498F6E94A}">
      <text>
        <r>
          <rPr>
            <b/>
            <sz val="9"/>
            <color indexed="81"/>
            <rFont val="Tahoma"/>
            <charset val="1"/>
          </rPr>
          <t>CAMELEON:</t>
        </r>
        <r>
          <rPr>
            <sz val="9"/>
            <color indexed="81"/>
            <rFont val="Tahoma"/>
            <charset val="1"/>
          </rPr>
          <t xml:space="preserve">
Fonds non reçus encore</t>
        </r>
      </text>
    </comment>
    <comment ref="C32" authorId="0" shapeId="0" xr:uid="{66EA9D76-ED09-4EB6-977B-EF0DDD93FEA9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à ajuster lors de la mise en ligne de leur appel à projet</t>
        </r>
      </text>
    </comment>
    <comment ref="C33" authorId="0" shapeId="0" xr:uid="{BFE6CB9D-3E9B-46BB-8D50-84EF4BA4F274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à ajuster lors de la mise en ligne de leur appel à projet</t>
        </r>
      </text>
    </comment>
    <comment ref="A35" authorId="0" shapeId="0" xr:uid="{36D2D64E-2F49-4698-A94D-F250B16BC558}">
      <text>
        <r>
          <rPr>
            <b/>
            <sz val="9"/>
            <color indexed="81"/>
            <rFont val="Tahoma"/>
            <charset val="1"/>
          </rPr>
          <t>CAMELEON:</t>
        </r>
        <r>
          <rPr>
            <sz val="9"/>
            <color indexed="81"/>
            <rFont val="Tahoma"/>
            <charset val="1"/>
          </rPr>
          <t xml:space="preserve">
Contact LL</t>
        </r>
      </text>
    </comment>
    <comment ref="C37" authorId="0" shapeId="0" xr:uid="{B527DF96-2728-4DCB-8D72-C15F74538F2D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rendre rapport</t>
        </r>
      </text>
    </comment>
    <comment ref="C43" authorId="0" shapeId="0" xr:uid="{E442BD12-0CBF-4027-862F-9E5F2CC7FEE7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Montant estimé à ajuster en fonction du bas de page des comptes</t>
        </r>
      </text>
    </comment>
    <comment ref="C44" authorId="0" shapeId="0" xr:uid="{9FA70A3E-C88B-4864-BD7F-4371A0711825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500 dans budget dégradé Covid</t>
        </r>
      </text>
    </comment>
    <comment ref="C45" authorId="0" shapeId="0" xr:uid="{A71098AD-6D17-48A9-B69D-C75D89C76DEC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Chiffre tiré du budget 2020</t>
        </r>
      </text>
    </comment>
    <comment ref="C48" authorId="0" shapeId="0" xr:uid="{29A8C538-5A09-4348-A7FE-EC9FE04E220C}">
      <text>
        <r>
          <rPr>
            <b/>
            <sz val="9"/>
            <color indexed="81"/>
            <rFont val="Tahoma"/>
            <family val="2"/>
          </rPr>
          <t>CAMELEON:</t>
        </r>
        <r>
          <rPr>
            <sz val="9"/>
            <color indexed="81"/>
            <rFont val="Tahoma"/>
            <family val="2"/>
          </rPr>
          <t xml:space="preserve">
Ajusté en fonction du potentiel</t>
        </r>
      </text>
    </comment>
  </commentList>
</comments>
</file>

<file path=xl/sharedStrings.xml><?xml version="1.0" encoding="utf-8"?>
<sst xmlns="http://schemas.openxmlformats.org/spreadsheetml/2006/main" count="348" uniqueCount="218">
  <si>
    <t>Parrainages</t>
  </si>
  <si>
    <t>Mois</t>
  </si>
  <si>
    <t>Réal</t>
  </si>
  <si>
    <t>Engagt FR (k€)</t>
  </si>
  <si>
    <t>Cotis 20 (17,5k€)</t>
  </si>
  <si>
    <t>Partenariats</t>
  </si>
  <si>
    <t>Prévision (besoin)</t>
  </si>
  <si>
    <t>Communication</t>
  </si>
  <si>
    <t>Nb de posts+ Mailings</t>
  </si>
  <si>
    <t>Mission Sociale France - Actions écoles et plaidoyer</t>
  </si>
  <si>
    <t>Interv. Prévues</t>
  </si>
  <si>
    <t>Interv. Program.</t>
  </si>
  <si>
    <t>Interv. Réal</t>
  </si>
  <si>
    <t>Actions Plaid. Prev.</t>
  </si>
  <si>
    <t>Actions Plaid. Réal.</t>
  </si>
  <si>
    <t>Montant lissé des engagts récurrents (FR + ? À valider)</t>
  </si>
  <si>
    <t>Somme transactions cumulées "Opérations parrainages"</t>
  </si>
  <si>
    <t>Somme transactions cumulées "Cotisations "</t>
  </si>
  <si>
    <t>Montant cumulé des financements nécessaires</t>
  </si>
  <si>
    <t>Montant cumulé des engagements partenaires</t>
  </si>
  <si>
    <t>Mtt cumulé des engagements en attente de validation</t>
  </si>
  <si>
    <t>Nb cumulé interventions programmées ds les établissements</t>
  </si>
  <si>
    <t>Nb cumulé des interventions réalisées</t>
  </si>
  <si>
    <t>Publications, CP,... ou participations à réseaux</t>
  </si>
  <si>
    <t>Projets en cours</t>
  </si>
  <si>
    <t>Stratégiques</t>
  </si>
  <si>
    <t>PRODON</t>
  </si>
  <si>
    <t>Contrôle de gestion projet</t>
  </si>
  <si>
    <t>Réalisation Plan de com</t>
  </si>
  <si>
    <t>RESSOURCES</t>
  </si>
  <si>
    <t>Tendance</t>
  </si>
  <si>
    <t>Avct</t>
  </si>
  <si>
    <t>Risque</t>
  </si>
  <si>
    <t>Commentaires</t>
  </si>
  <si>
    <t>Legs, Donations, AV</t>
  </si>
  <si>
    <t>Mécénat d'entreprise</t>
  </si>
  <si>
    <t>Actions de fid. prev.</t>
  </si>
  <si>
    <t>Actions de fid. Réal.</t>
  </si>
  <si>
    <t>Partenariats (vision trésorerie, hors AFD/MAE)</t>
  </si>
  <si>
    <t>Staffing salariés (nb staffé sur nb cible)</t>
  </si>
  <si>
    <t>Staffing VSC</t>
  </si>
  <si>
    <t>Satisf parrain</t>
  </si>
  <si>
    <t>Statut</t>
  </si>
  <si>
    <t>Notoriété</t>
  </si>
  <si>
    <t>Ressources</t>
  </si>
  <si>
    <t>Nom</t>
  </si>
  <si>
    <t>Date entrée</t>
  </si>
  <si>
    <t>JBJ</t>
  </si>
  <si>
    <t>Adama</t>
  </si>
  <si>
    <t>James</t>
  </si>
  <si>
    <t>Karen</t>
  </si>
  <si>
    <t>Marion</t>
  </si>
  <si>
    <t>Sandy</t>
  </si>
  <si>
    <t>Age Moyen (mois)</t>
  </si>
  <si>
    <t>Ludivine</t>
  </si>
  <si>
    <t>Ancienneté moyenne en mois</t>
  </si>
  <si>
    <t>CIBLE</t>
  </si>
  <si>
    <t>M-1</t>
  </si>
  <si>
    <t>Nb de tâches prodon Partenaires à réaliser</t>
  </si>
  <si>
    <t>Nb cumulé des interventions enfants ou encadrants nécessaires)</t>
  </si>
  <si>
    <t>Nb d'abonnés FB+Insta+Linkedin+Youtube</t>
  </si>
  <si>
    <t>Notoriété (OBJ 10K abonnés)</t>
  </si>
  <si>
    <t>Réalisation Plan de com (%)</t>
  </si>
  <si>
    <t>AFD</t>
  </si>
  <si>
    <t>CHL MAE</t>
  </si>
  <si>
    <t>Christian Courtin</t>
  </si>
  <si>
    <t>CLARINS</t>
  </si>
  <si>
    <t>COCKTAIL SCANDINAVE</t>
  </si>
  <si>
    <t>Delta Trailers</t>
  </si>
  <si>
    <t>Fondation Air France</t>
  </si>
  <si>
    <t>Fondation ENGIE</t>
  </si>
  <si>
    <t>Fondation Ombrie</t>
  </si>
  <si>
    <t>Fondation KPMG Luxembourg</t>
  </si>
  <si>
    <t>LAS CHICAS</t>
  </si>
  <si>
    <t xml:space="preserve">Couture4Cameleon </t>
  </si>
  <si>
    <t>Fondation Engagés Solidaires</t>
  </si>
  <si>
    <t xml:space="preserve">Fondation Jean Casseigne </t>
  </si>
  <si>
    <t xml:space="preserve">Fondation 154 </t>
  </si>
  <si>
    <t xml:space="preserve">Cabinet Wavestone:  mécénat de compétence </t>
  </si>
  <si>
    <t>Autres fondations, Stratégie de collecte PHIL</t>
  </si>
  <si>
    <t>% de succès</t>
  </si>
  <si>
    <t>Date</t>
  </si>
  <si>
    <t>Hors scope</t>
  </si>
  <si>
    <t>Déposé/ Demandé</t>
  </si>
  <si>
    <t>Engagt (k€) / Acquis</t>
  </si>
  <si>
    <t>Acquis</t>
  </si>
  <si>
    <t>Étiquettes de colonnes</t>
  </si>
  <si>
    <t>Total général</t>
  </si>
  <si>
    <t>Étiquettes de lignes</t>
  </si>
  <si>
    <t>mars</t>
  </si>
  <si>
    <t>avr</t>
  </si>
  <si>
    <t>mai</t>
  </si>
  <si>
    <t>juil</t>
  </si>
  <si>
    <t>sept</t>
  </si>
  <si>
    <t>oct</t>
  </si>
  <si>
    <t>nov</t>
  </si>
  <si>
    <t>déc</t>
  </si>
  <si>
    <t>K€</t>
  </si>
  <si>
    <t>Somme de K€</t>
  </si>
  <si>
    <t>août</t>
  </si>
  <si>
    <t>Staffing Bénévoles actifs</t>
  </si>
  <si>
    <t>Projection</t>
  </si>
  <si>
    <t>IDEAS (Livrables Criticité 1)</t>
  </si>
  <si>
    <t>Socheata</t>
  </si>
  <si>
    <t>Humaines</t>
  </si>
  <si>
    <t>Réactivité</t>
  </si>
  <si>
    <t>Nb de com Push par mois (valider nb RS / différents)</t>
  </si>
  <si>
    <t>Nb de share</t>
  </si>
  <si>
    <t>Anaelle</t>
  </si>
  <si>
    <t>Adeline</t>
  </si>
  <si>
    <t>Ancienneté (mois)</t>
  </si>
  <si>
    <t>Cible</t>
  </si>
  <si>
    <t>Ressources Financières : voir parrainages et partenariats</t>
  </si>
  <si>
    <t xml:space="preserve"> hors LL et bénévoles/stag Cible = 4 salariés de 2 ans + 4 VSC de 6 mois = 12 mois</t>
  </si>
  <si>
    <t>Destination</t>
  </si>
  <si>
    <t>REHAB PASSI</t>
  </si>
  <si>
    <t>Nb à parrainer (obj 0)</t>
  </si>
  <si>
    <t>MS PHIL</t>
  </si>
  <si>
    <t>MSF</t>
  </si>
  <si>
    <t>FS CAM FR</t>
  </si>
  <si>
    <t>LUX Negros (900k€ /3 ans)</t>
  </si>
  <si>
    <t>LUX PASSI (900k€ /3 ans)</t>
  </si>
  <si>
    <t>AFD PASSI (600k€ / 3 ans)</t>
  </si>
  <si>
    <t>dépôt juillet</t>
  </si>
  <si>
    <t>Dépôt fév</t>
  </si>
  <si>
    <t>Bailleurs critiques</t>
  </si>
  <si>
    <t>Le Grand Chalon (France)</t>
  </si>
  <si>
    <t>Somme de K€2</t>
  </si>
  <si>
    <t>Fête de la montagne</t>
  </si>
  <si>
    <t>Nb hres formation</t>
  </si>
  <si>
    <t>Dans le mois, VSC et salariés, y/c webinar…</t>
  </si>
  <si>
    <t>CDI</t>
  </si>
  <si>
    <t>CDD</t>
  </si>
  <si>
    <t>VSC</t>
  </si>
  <si>
    <t>Stagiaire</t>
  </si>
  <si>
    <t>VSI</t>
  </si>
  <si>
    <t>Potentiel/ A activer</t>
  </si>
  <si>
    <t>Solde des enfants à parrainer</t>
  </si>
  <si>
    <t>Moyenne de niveau de satisf des appels parrains selon Nature des réclamations (5.Merci-4.Donner info-3.Dde info-2.Pb à résoudre - 1.Plainte)
Pas encore d'objectif</t>
  </si>
  <si>
    <t>Mtt cumulé des dossiers en cours de préparation ou à activer auprès de partenaires identifiés</t>
  </si>
  <si>
    <t>Pas démarré</t>
  </si>
  <si>
    <t xml:space="preserve">Dégradation </t>
  </si>
  <si>
    <t>Amélioration</t>
  </si>
  <si>
    <t>Aucun risque envisagé</t>
  </si>
  <si>
    <t>Terminé</t>
  </si>
  <si>
    <t>Pourcentage des actions réalisées / prévues</t>
  </si>
  <si>
    <t>Blocage</t>
  </si>
  <si>
    <t>Thomas</t>
  </si>
  <si>
    <t>Ellyne</t>
  </si>
  <si>
    <t>Léo</t>
  </si>
  <si>
    <t>Date sortie</t>
  </si>
  <si>
    <t>à date</t>
  </si>
  <si>
    <t>janv</t>
  </si>
  <si>
    <t>Ecole louis pasteur</t>
  </si>
  <si>
    <t>févr</t>
  </si>
  <si>
    <t>Collecte
2020</t>
  </si>
  <si>
    <t>AGE mois M</t>
  </si>
  <si>
    <t>AGE M+1</t>
  </si>
  <si>
    <t>AGE M+2</t>
  </si>
  <si>
    <t>AGE M+3</t>
  </si>
  <si>
    <t>Zonta Club Paris La Défense</t>
  </si>
  <si>
    <t xml:space="preserve">Course des héros </t>
  </si>
  <si>
    <t>Refusé</t>
  </si>
  <si>
    <t>A solliciter</t>
  </si>
  <si>
    <t>Sollicité</t>
  </si>
  <si>
    <t>COM DEV, Empowerement</t>
  </si>
  <si>
    <t xml:space="preserve">Fondation NIF Luxembourg </t>
  </si>
  <si>
    <t>COVID-19 Hello Asso</t>
  </si>
  <si>
    <t>MSF 2019-2020</t>
  </si>
  <si>
    <t>MSF 2020-2021</t>
  </si>
  <si>
    <t>Aide urgence Covid-19</t>
  </si>
  <si>
    <t>Fondation pour l'Enfance</t>
  </si>
  <si>
    <t xml:space="preserve">Matériel de sport et cirque </t>
  </si>
  <si>
    <t xml:space="preserve">Dance4children </t>
  </si>
  <si>
    <t>La Petite Manille  (FR et PHILS)</t>
  </si>
  <si>
    <t>Marjorie</t>
  </si>
  <si>
    <t>Gillian</t>
  </si>
  <si>
    <t>Nb d'emailings</t>
  </si>
  <si>
    <t>Initié</t>
  </si>
  <si>
    <t>Wavestone, BNPP</t>
  </si>
  <si>
    <t>Cotis 20 (obj 6,9k€)</t>
  </si>
  <si>
    <t>Soline Germond</t>
  </si>
  <si>
    <t>Rehab Passi Job Placement (quotepart 2020 cycle 1 année 1)</t>
  </si>
  <si>
    <t>Typhon 2020</t>
  </si>
  <si>
    <t>REHAB PASSI Santé</t>
  </si>
  <si>
    <t xml:space="preserve">Johnson &amp; johnson Laboratoire Janssen  </t>
  </si>
  <si>
    <t>Rehab Negros Quotepart 2020 (Cycle 2 année 1 )</t>
  </si>
  <si>
    <t xml:space="preserve">Rehab Negros  </t>
  </si>
  <si>
    <t>A solliciter2</t>
  </si>
  <si>
    <t>Sollicité2</t>
  </si>
  <si>
    <t>Fondation TAO</t>
  </si>
  <si>
    <t>Matériel informatique</t>
  </si>
  <si>
    <t>Subvention Fonds exceptionnel Parentalité (Taquet)</t>
  </si>
  <si>
    <t>Vente de produits partage</t>
  </si>
  <si>
    <t>Prix Clarins</t>
  </si>
  <si>
    <t xml:space="preserve">CE CLARINS </t>
  </si>
  <si>
    <t>Cotisations</t>
  </si>
  <si>
    <t>CDC Solidaires</t>
  </si>
  <si>
    <t>Construction water tank</t>
  </si>
  <si>
    <t>Talents et Partage (asso SG)</t>
  </si>
  <si>
    <t xml:space="preserve">Fondation Artelia </t>
  </si>
  <si>
    <t>Aide urgence typhon</t>
  </si>
  <si>
    <t>Dons non affectés Luxembourg Hossen + Loyens</t>
  </si>
  <si>
    <t>Nb nouveaux parrains (obj 40 fin juin)</t>
  </si>
  <si>
    <t>Nbre de parrains actifs FR+Intl</t>
  </si>
  <si>
    <t>Autres dons non affectés</t>
  </si>
  <si>
    <t xml:space="preserve">Voix de l'Enfant </t>
  </si>
  <si>
    <t>MSF, Prog Demain Sezane</t>
  </si>
  <si>
    <t>Autres fondations, Stratégie de collecte FR (non affecté)</t>
  </si>
  <si>
    <t>CLUB 51-LADIES MEETJESLAND</t>
  </si>
  <si>
    <t>Santé Phils</t>
  </si>
  <si>
    <t>&lt;01/01/2020</t>
  </si>
  <si>
    <t>BNPP: mécénat de compétence</t>
  </si>
  <si>
    <t>LUX PASSI et NEGROS 2019</t>
  </si>
  <si>
    <t>Rapport</t>
  </si>
  <si>
    <t>Collecte COVID-19</t>
  </si>
  <si>
    <t>Nb de posts FB</t>
  </si>
  <si>
    <t>Nb de posts 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</si>
</sst>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Lato Black"/>
      <family val="2"/>
    </font>
    <font>
      <sz val="14"/>
      <color theme="0"/>
      <name val="Lato Black"/>
      <family val="2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B31F1F"/>
        <bgColor indexed="64"/>
      </patternFill>
    </fill>
    <fill>
      <patternFill patternType="solid">
        <fgColor rgb="FFEE7800"/>
        <bgColor indexed="64"/>
      </patternFill>
    </fill>
    <fill>
      <patternFill patternType="solid">
        <fgColor rgb="FF97C344"/>
        <bgColor indexed="64"/>
      </patternFill>
    </fill>
    <fill>
      <patternFill patternType="solid">
        <fgColor rgb="FF26358B"/>
        <bgColor indexed="64"/>
      </patternFill>
    </fill>
    <fill>
      <patternFill patternType="solid">
        <fgColor rgb="FF66B6E7"/>
        <bgColor indexed="64"/>
      </patternFill>
    </fill>
    <fill>
      <patternFill patternType="solid">
        <fgColor rgb="FFFDBE1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6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0" fontId="0" fillId="5" borderId="0" xfId="0" applyFill="1"/>
    <xf numFmtId="0" fontId="4" fillId="5" borderId="0" xfId="0" applyFont="1" applyFill="1"/>
    <xf numFmtId="0" fontId="5" fillId="5" borderId="0" xfId="0" applyFont="1" applyFill="1"/>
    <xf numFmtId="0" fontId="4" fillId="3" borderId="0" xfId="0" applyFont="1" applyFill="1"/>
    <xf numFmtId="0" fontId="4" fillId="2" borderId="0" xfId="0" applyFont="1" applyFill="1"/>
    <xf numFmtId="0" fontId="4" fillId="4" borderId="0" xfId="0" applyFont="1" applyFill="1"/>
    <xf numFmtId="0" fontId="0" fillId="3" borderId="0" xfId="0" applyFill="1"/>
    <xf numFmtId="0" fontId="3" fillId="3" borderId="0" xfId="0" applyFont="1" applyFill="1"/>
    <xf numFmtId="0" fontId="0" fillId="2" borderId="0" xfId="0" applyFill="1"/>
    <xf numFmtId="0" fontId="3" fillId="2" borderId="0" xfId="0" applyFont="1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6" borderId="0" xfId="0" applyFont="1" applyFill="1"/>
    <xf numFmtId="0" fontId="2" fillId="6" borderId="0" xfId="0" applyFont="1" applyFill="1"/>
    <xf numFmtId="0" fontId="0" fillId="6" borderId="0" xfId="0" applyFill="1"/>
    <xf numFmtId="0" fontId="3" fillId="6" borderId="0" xfId="0" applyFont="1" applyFill="1"/>
    <xf numFmtId="0" fontId="0" fillId="7" borderId="0" xfId="0" applyFill="1"/>
    <xf numFmtId="0" fontId="5" fillId="7" borderId="0" xfId="0" applyFont="1" applyFill="1"/>
    <xf numFmtId="0" fontId="1" fillId="0" borderId="0" xfId="0" applyFont="1"/>
    <xf numFmtId="0" fontId="4" fillId="7" borderId="0" xfId="0" applyFont="1" applyFill="1"/>
    <xf numFmtId="0" fontId="0" fillId="0" borderId="4" xfId="0" applyFont="1" applyBorder="1"/>
    <xf numFmtId="0" fontId="0" fillId="0" borderId="5" xfId="0" applyFont="1" applyBorder="1"/>
    <xf numFmtId="0" fontId="0" fillId="0" borderId="5" xfId="0" applyFont="1" applyBorder="1" applyAlignment="1">
      <alignment vertical="center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64" fontId="0" fillId="0" borderId="5" xfId="1" applyNumberFormat="1" applyFont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Fill="1"/>
    <xf numFmtId="165" fontId="0" fillId="0" borderId="0" xfId="1" applyNumberFormat="1" applyFont="1" applyFill="1"/>
    <xf numFmtId="9" fontId="0" fillId="0" borderId="5" xfId="0" applyNumberFormat="1" applyFont="1" applyBorder="1"/>
    <xf numFmtId="0" fontId="0" fillId="0" borderId="5" xfId="0" applyBorder="1" applyAlignment="1">
      <alignment horizontal="center"/>
    </xf>
    <xf numFmtId="0" fontId="1" fillId="8" borderId="0" xfId="0" applyFont="1" applyFill="1"/>
    <xf numFmtId="0" fontId="0" fillId="8" borderId="0" xfId="0" applyFill="1"/>
    <xf numFmtId="0" fontId="1" fillId="9" borderId="1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7" fillId="10" borderId="4" xfId="0" applyFont="1" applyFill="1" applyBorder="1"/>
    <xf numFmtId="0" fontId="6" fillId="10" borderId="4" xfId="0" applyFont="1" applyFill="1" applyBorder="1"/>
    <xf numFmtId="0" fontId="11" fillId="11" borderId="4" xfId="0" applyFont="1" applyFill="1" applyBorder="1"/>
    <xf numFmtId="0" fontId="12" fillId="11" borderId="7" xfId="0" applyFont="1" applyFill="1" applyBorder="1"/>
    <xf numFmtId="0" fontId="7" fillId="12" borderId="4" xfId="0" applyFont="1" applyFill="1" applyBorder="1"/>
    <xf numFmtId="0" fontId="6" fillId="12" borderId="4" xfId="0" applyFont="1" applyFill="1" applyBorder="1"/>
    <xf numFmtId="164" fontId="0" fillId="0" borderId="0" xfId="0" applyNumberFormat="1"/>
    <xf numFmtId="0" fontId="3" fillId="0" borderId="5" xfId="0" applyFont="1" applyBorder="1" applyAlignment="1">
      <alignment horizontal="center"/>
    </xf>
    <xf numFmtId="0" fontId="0" fillId="0" borderId="10" xfId="0" applyFont="1" applyFill="1" applyBorder="1" applyAlignment="1">
      <alignment vertical="center"/>
    </xf>
    <xf numFmtId="0" fontId="2" fillId="2" borderId="0" xfId="0" applyFont="1" applyFill="1" applyAlignment="1">
      <alignment wrapText="1"/>
    </xf>
    <xf numFmtId="0" fontId="1" fillId="0" borderId="2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2" fillId="6" borderId="0" xfId="0" applyFont="1" applyFill="1" applyAlignment="1">
      <alignment wrapText="1"/>
    </xf>
    <xf numFmtId="0" fontId="0" fillId="7" borderId="0" xfId="0" applyFill="1" applyAlignment="1">
      <alignment wrapText="1"/>
    </xf>
    <xf numFmtId="0" fontId="2" fillId="3" borderId="0" xfId="0" applyFont="1" applyFill="1" applyAlignment="1">
      <alignment wrapText="1"/>
    </xf>
    <xf numFmtId="0" fontId="5" fillId="5" borderId="0" xfId="0" applyFont="1" applyFill="1" applyAlignment="1">
      <alignment wrapText="1"/>
    </xf>
    <xf numFmtId="0" fontId="1" fillId="0" borderId="1" xfId="0" applyFont="1" applyBorder="1" applyAlignment="1">
      <alignment horizontal="center" wrapText="1"/>
    </xf>
    <xf numFmtId="0" fontId="7" fillId="12" borderId="4" xfId="0" applyFont="1" applyFill="1" applyBorder="1" applyAlignment="1">
      <alignment wrapText="1"/>
    </xf>
    <xf numFmtId="0" fontId="6" fillId="12" borderId="4" xfId="0" applyFont="1" applyFill="1" applyBorder="1" applyAlignment="1">
      <alignment wrapText="1"/>
    </xf>
    <xf numFmtId="0" fontId="12" fillId="13" borderId="4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7" fillId="10" borderId="4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11" fillId="11" borderId="4" xfId="0" applyFont="1" applyFill="1" applyBorder="1" applyAlignment="1">
      <alignment wrapText="1"/>
    </xf>
    <xf numFmtId="0" fontId="12" fillId="11" borderId="7" xfId="0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1" fillId="0" borderId="0" xfId="0" applyFont="1" applyAlignment="1">
      <alignment wrapText="1"/>
    </xf>
    <xf numFmtId="10" fontId="0" fillId="0" borderId="0" xfId="0" applyNumberFormat="1"/>
    <xf numFmtId="9" fontId="0" fillId="0" borderId="5" xfId="0" applyNumberFormat="1" applyBorder="1"/>
    <xf numFmtId="9" fontId="0" fillId="0" borderId="0" xfId="0" applyNumberFormat="1"/>
    <xf numFmtId="0" fontId="3" fillId="14" borderId="4" xfId="0" applyFont="1" applyFill="1" applyBorder="1" applyAlignment="1">
      <alignment wrapText="1"/>
    </xf>
    <xf numFmtId="0" fontId="0" fillId="14" borderId="10" xfId="0" applyFill="1" applyBorder="1" applyAlignment="1">
      <alignment wrapText="1"/>
    </xf>
    <xf numFmtId="0" fontId="0" fillId="14" borderId="7" xfId="0" applyFill="1" applyBorder="1" applyAlignment="1">
      <alignment wrapText="1"/>
    </xf>
    <xf numFmtId="0" fontId="0" fillId="14" borderId="0" xfId="0" applyFill="1" applyAlignment="1">
      <alignment wrapText="1"/>
    </xf>
    <xf numFmtId="9" fontId="0" fillId="0" borderId="5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0" fontId="0" fillId="15" borderId="0" xfId="0" applyFill="1"/>
    <xf numFmtId="14" fontId="0" fillId="15" borderId="0" xfId="0" applyNumberFormat="1" applyFill="1"/>
    <xf numFmtId="14" fontId="0" fillId="16" borderId="0" xfId="0" applyNumberFormat="1" applyFill="1"/>
    <xf numFmtId="165" fontId="0" fillId="0" borderId="0" xfId="1" applyNumberFormat="1" applyFont="1" applyFill="1" applyAlignment="1">
      <alignment wrapText="1"/>
    </xf>
    <xf numFmtId="0" fontId="12" fillId="0" borderId="0" xfId="0" applyFont="1" applyFill="1"/>
    <xf numFmtId="165" fontId="12" fillId="0" borderId="0" xfId="1" applyNumberFormat="1" applyFont="1" applyFill="1"/>
    <xf numFmtId="9" fontId="12" fillId="0" borderId="0" xfId="0" applyNumberFormat="1" applyFont="1" applyFill="1"/>
    <xf numFmtId="165" fontId="12" fillId="0" borderId="0" xfId="0" applyNumberFormat="1" applyFont="1" applyFill="1"/>
    <xf numFmtId="0" fontId="12" fillId="0" borderId="0" xfId="0" applyFont="1"/>
    <xf numFmtId="16" fontId="12" fillId="0" borderId="0" xfId="0" applyNumberFormat="1" applyFont="1"/>
    <xf numFmtId="165" fontId="12" fillId="0" borderId="0" xfId="1" applyNumberFormat="1" applyFont="1" applyFill="1" applyAlignment="1">
      <alignment horizontal="right"/>
    </xf>
    <xf numFmtId="0" fontId="0" fillId="0" borderId="11" xfId="0" applyBorder="1"/>
    <xf numFmtId="0" fontId="0" fillId="0" borderId="12" xfId="0" applyBorder="1"/>
    <xf numFmtId="0" fontId="12" fillId="0" borderId="0" xfId="0" applyFont="1" applyBorder="1"/>
    <xf numFmtId="0" fontId="17" fillId="0" borderId="13" xfId="2" applyFont="1" applyBorder="1"/>
    <xf numFmtId="0" fontId="16" fillId="0" borderId="13" xfId="2" applyBorder="1"/>
    <xf numFmtId="0" fontId="0" fillId="0" borderId="14" xfId="0" applyBorder="1"/>
    <xf numFmtId="0" fontId="12" fillId="0" borderId="5" xfId="0" applyFont="1" applyBorder="1"/>
  </cellXfs>
  <cellStyles count="3">
    <cellStyle name="Milliers" xfId="1" builtinId="3"/>
    <cellStyle name="Normal" xfId="0" builtinId="0"/>
    <cellStyle name="Normal 2" xfId="2" xr:uid="{C20D1D49-11A7-4721-9DF5-E53C728330C5}"/>
  </cellStyles>
  <dxfs count="19"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-* #,##0_-;\-* #,##0_-;_-* &quot;-&quot;??_-;_-@_-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-* #,##0_-;\-* #,##0_-;_-* &quot;-&quot;??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-* #,##0_-;\-* #,##0_-;_-* &quot;-&quot;??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-* #,##0_-;\-* #,##0_-;_-* &quot;-&quot;??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-* #,##0_-;\-* #,##0_-;_-* &quot;-&quot;??_-;_-@_-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6" formatCode="0.0"/>
    </dxf>
    <dxf>
      <numFmt numFmtId="165" formatCode="_-* #,##0_-;\-* #,##0_-;_-* &quot;-&quot;??_-;_-@_-"/>
    </dxf>
    <dxf>
      <numFmt numFmtId="166" formatCode="0.0"/>
    </dxf>
    <dxf>
      <numFmt numFmtId="165" formatCode="_-* #,##0_-;\-* #,##0_-;_-* &quot;-&quot;??_-;_-@_-"/>
    </dxf>
  </dxfs>
  <tableStyles count="0" defaultTableStyle="TableStyleMedium2" defaultPivotStyle="PivotStyleLight16"/>
  <colors>
    <mruColors>
      <color rgb="FFEE7800"/>
      <color rgb="FF66B6E7"/>
      <color rgb="FFFDBE11"/>
      <color rgb="FFB31F1F"/>
      <color rgb="FF26358B"/>
      <color rgb="FF97C3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 b="1"/>
              <a:t>Suivi engagts PARTENAIRES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areaChart>
        <c:grouping val="stacked"/>
        <c:varyColors val="0"/>
        <c:ser>
          <c:idx val="2"/>
          <c:order val="2"/>
          <c:tx>
            <c:strRef>
              <c:f>TDB!$Q$4</c:f>
              <c:strCache>
                <c:ptCount val="1"/>
                <c:pt idx="0">
                  <c:v>Engagt (k€) / Acquis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TDB!$R$4:$AC$4</c:f>
              <c:numCache>
                <c:formatCode>General</c:formatCode>
                <c:ptCount val="12"/>
                <c:pt idx="0">
                  <c:v>9.5</c:v>
                </c:pt>
                <c:pt idx="1">
                  <c:v>10.5</c:v>
                </c:pt>
                <c:pt idx="2">
                  <c:v>39</c:v>
                </c:pt>
                <c:pt idx="3">
                  <c:v>57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62-438D-A35A-C2171B0A6DB0}"/>
            </c:ext>
          </c:extLst>
        </c:ser>
        <c:ser>
          <c:idx val="3"/>
          <c:order val="3"/>
          <c:tx>
            <c:strRef>
              <c:f>TDB!$Q$5</c:f>
              <c:strCache>
                <c:ptCount val="1"/>
                <c:pt idx="0">
                  <c:v>Déposé/ Demandé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TDB!$R$5:$AC$5</c:f>
              <c:numCache>
                <c:formatCode>General</c:formatCode>
                <c:ptCount val="12"/>
                <c:pt idx="0">
                  <c:v>28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62-438D-A35A-C2171B0A6DB0}"/>
            </c:ext>
          </c:extLst>
        </c:ser>
        <c:ser>
          <c:idx val="4"/>
          <c:order val="4"/>
          <c:tx>
            <c:strRef>
              <c:f>TDB!$Q$6</c:f>
              <c:strCache>
                <c:ptCount val="1"/>
                <c:pt idx="0">
                  <c:v>Potentiel/ A activer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TDB!$R$6:$AC$6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62-438D-A35A-C2171B0A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640800"/>
        <c:axId val="307639160"/>
      </c:areaChart>
      <c:lineChart>
        <c:grouping val="standard"/>
        <c:varyColors val="0"/>
        <c:ser>
          <c:idx val="1"/>
          <c:order val="1"/>
          <c:tx>
            <c:strRef>
              <c:f>TDB!$Q$3</c:f>
              <c:strCache>
                <c:ptCount val="1"/>
                <c:pt idx="0">
                  <c:v>Prévision (besoin)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TDB!$R$3:$AC$3</c:f>
              <c:numCache>
                <c:formatCode>General</c:formatCode>
                <c:ptCount val="12"/>
                <c:pt idx="0">
                  <c:v>38.75</c:v>
                </c:pt>
                <c:pt idx="1">
                  <c:v>77.5</c:v>
                </c:pt>
                <c:pt idx="2">
                  <c:v>116.25</c:v>
                </c:pt>
                <c:pt idx="3">
                  <c:v>155</c:v>
                </c:pt>
                <c:pt idx="4">
                  <c:v>193.75</c:v>
                </c:pt>
                <c:pt idx="5">
                  <c:v>232.5</c:v>
                </c:pt>
                <c:pt idx="6">
                  <c:v>271.25</c:v>
                </c:pt>
                <c:pt idx="7">
                  <c:v>310</c:v>
                </c:pt>
                <c:pt idx="8">
                  <c:v>348.75</c:v>
                </c:pt>
                <c:pt idx="9">
                  <c:v>387.5</c:v>
                </c:pt>
                <c:pt idx="10">
                  <c:v>426.25</c:v>
                </c:pt>
                <c:pt idx="11">
                  <c:v>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62-438D-A35A-C2171B0A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640800"/>
        <c:axId val="30763916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TDB!$Q$2</c15:sqref>
                        </c15:formulaRef>
                      </c:ext>
                    </c:extLst>
                    <c:strCache>
                      <c:ptCount val="1"/>
                      <c:pt idx="0">
                        <c:v>Mois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TDB!$R$2:$AC$2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6462-438D-A35A-C2171B0A6DB0}"/>
                  </c:ext>
                </c:extLst>
              </c15:ser>
            </c15:filteredLineSeries>
          </c:ext>
        </c:extLst>
      </c:lineChart>
      <c:catAx>
        <c:axId val="307640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7639160"/>
        <c:crosses val="autoZero"/>
        <c:auto val="1"/>
        <c:lblAlgn val="ctr"/>
        <c:lblOffset val="100"/>
        <c:noMultiLvlLbl val="0"/>
      </c:catAx>
      <c:valAx>
        <c:axId val="307639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7640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 b="1"/>
              <a:t>Engagement PARRAINS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TDB!$B$3</c:f>
              <c:strCache>
                <c:ptCount val="1"/>
                <c:pt idx="0">
                  <c:v>Engagt FR (k€)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TDB!$C$3:$N$3</c:f>
              <c:numCache>
                <c:formatCode>General</c:formatCode>
                <c:ptCount val="12"/>
                <c:pt idx="0">
                  <c:v>18</c:v>
                </c:pt>
                <c:pt idx="1">
                  <c:v>36</c:v>
                </c:pt>
                <c:pt idx="2">
                  <c:v>54</c:v>
                </c:pt>
                <c:pt idx="3">
                  <c:v>72</c:v>
                </c:pt>
                <c:pt idx="4">
                  <c:v>90</c:v>
                </c:pt>
                <c:pt idx="5">
                  <c:v>108</c:v>
                </c:pt>
                <c:pt idx="6">
                  <c:v>126</c:v>
                </c:pt>
                <c:pt idx="7">
                  <c:v>144</c:v>
                </c:pt>
                <c:pt idx="8">
                  <c:v>162</c:v>
                </c:pt>
                <c:pt idx="9">
                  <c:v>180</c:v>
                </c:pt>
                <c:pt idx="10">
                  <c:v>198</c:v>
                </c:pt>
                <c:pt idx="11">
                  <c:v>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B1-49A7-9E23-2184BD499D99}"/>
            </c:ext>
          </c:extLst>
        </c:ser>
        <c:ser>
          <c:idx val="1"/>
          <c:order val="1"/>
          <c:tx>
            <c:strRef>
              <c:f>TDB!$B$4</c:f>
              <c:strCache>
                <c:ptCount val="1"/>
                <c:pt idx="0">
                  <c:v>Réal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TDB!$C$4:$N$4</c:f>
              <c:numCache>
                <c:formatCode>General</c:formatCode>
                <c:ptCount val="12"/>
                <c:pt idx="0">
                  <c:v>13.8</c:v>
                </c:pt>
                <c:pt idx="1">
                  <c:v>29.200000000000003</c:v>
                </c:pt>
                <c:pt idx="2">
                  <c:v>42.300000000000004</c:v>
                </c:pt>
                <c:pt idx="3">
                  <c:v>62.900000000000006</c:v>
                </c:pt>
                <c:pt idx="4">
                  <c:v>68.100000000000009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B1-49A7-9E23-2184BD499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789928"/>
        <c:axId val="539792224"/>
      </c:lineChart>
      <c:catAx>
        <c:axId val="539789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9792224"/>
        <c:crosses val="autoZero"/>
        <c:auto val="1"/>
        <c:lblAlgn val="ctr"/>
        <c:lblOffset val="100"/>
        <c:noMultiLvlLbl val="0"/>
      </c:catAx>
      <c:valAx>
        <c:axId val="53979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9789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 b="1"/>
              <a:t>Planif</a:t>
            </a:r>
            <a:r>
              <a:rPr lang="fr-FR" sz="1100" b="1" baseline="0"/>
              <a:t> Actions écoles et actions Plaidoyer</a:t>
            </a:r>
            <a:endParaRPr lang="fr-FR" sz="11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TDB!$B$32</c:f>
              <c:strCache>
                <c:ptCount val="1"/>
                <c:pt idx="0">
                  <c:v>Interv. Prévues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TDB!$C$32:$N$32</c:f>
              <c:numCache>
                <c:formatCode>General</c:formatCode>
                <c:ptCount val="12"/>
                <c:pt idx="0">
                  <c:v>24</c:v>
                </c:pt>
                <c:pt idx="1">
                  <c:v>28</c:v>
                </c:pt>
                <c:pt idx="2">
                  <c:v>32</c:v>
                </c:pt>
                <c:pt idx="3">
                  <c:v>44</c:v>
                </c:pt>
                <c:pt idx="4">
                  <c:v>56</c:v>
                </c:pt>
                <c:pt idx="5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17-44F0-B1E4-294FB60F6907}"/>
            </c:ext>
          </c:extLst>
        </c:ser>
        <c:ser>
          <c:idx val="1"/>
          <c:order val="1"/>
          <c:tx>
            <c:strRef>
              <c:f>TDB!$B$33</c:f>
              <c:strCache>
                <c:ptCount val="1"/>
                <c:pt idx="0">
                  <c:v>Interv. Program.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TDB!$C$33:$N$33</c:f>
              <c:numCache>
                <c:formatCode>General</c:formatCode>
                <c:ptCount val="12"/>
                <c:pt idx="0">
                  <c:v>24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17-44F0-B1E4-294FB60F6907}"/>
            </c:ext>
          </c:extLst>
        </c:ser>
        <c:ser>
          <c:idx val="2"/>
          <c:order val="2"/>
          <c:tx>
            <c:strRef>
              <c:f>TDB!$B$34</c:f>
              <c:strCache>
                <c:ptCount val="1"/>
                <c:pt idx="0">
                  <c:v>Interv. Réal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TDB!$C$34:$N$34</c:f>
              <c:numCache>
                <c:formatCode>General</c:formatCode>
                <c:ptCount val="12"/>
                <c:pt idx="0">
                  <c:v>14</c:v>
                </c:pt>
                <c:pt idx="1">
                  <c:v>20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  <c:pt idx="5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17-44F0-B1E4-294FB60F6907}"/>
            </c:ext>
          </c:extLst>
        </c:ser>
        <c:ser>
          <c:idx val="3"/>
          <c:order val="3"/>
          <c:tx>
            <c:strRef>
              <c:f>TDB!$B$35</c:f>
              <c:strCache>
                <c:ptCount val="1"/>
                <c:pt idx="0">
                  <c:v>Actions Plaid. Prev.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TDB!$C$35:$N$35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E5-47EB-97C5-A94890E751BF}"/>
            </c:ext>
          </c:extLst>
        </c:ser>
        <c:ser>
          <c:idx val="4"/>
          <c:order val="4"/>
          <c:tx>
            <c:strRef>
              <c:f>TDB!$B$36</c:f>
              <c:strCache>
                <c:ptCount val="1"/>
                <c:pt idx="0">
                  <c:v>Actions Plaid. Réal.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TDB!$C$36:$N$36</c:f>
              <c:numCache>
                <c:formatCode>General</c:formatCode>
                <c:ptCount val="12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12</c:v>
                </c:pt>
                <c:pt idx="4">
                  <c:v>14</c:v>
                </c:pt>
                <c:pt idx="5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E5-47EB-97C5-A94890E75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490992"/>
        <c:axId val="627491648"/>
      </c:lineChart>
      <c:catAx>
        <c:axId val="62749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7491648"/>
        <c:crosses val="autoZero"/>
        <c:auto val="1"/>
        <c:lblAlgn val="ctr"/>
        <c:lblOffset val="100"/>
        <c:noMultiLvlLbl val="0"/>
      </c:catAx>
      <c:valAx>
        <c:axId val="6274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7490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Evolution de l'ancienneté en mois hors 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'Indicateurs Ressources'!$J$4</c:f>
              <c:strCache>
                <c:ptCount val="1"/>
                <c:pt idx="0">
                  <c:v>Cible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'Indicateurs Ressources'!$K$3:$V$3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'Indicateurs Ressources'!$K$4:$V$4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4A-4AD3-8C27-05CDF94829B9}"/>
            </c:ext>
          </c:extLst>
        </c:ser>
        <c:ser>
          <c:idx val="1"/>
          <c:order val="1"/>
          <c:tx>
            <c:strRef>
              <c:f>'Indicateurs Ressources'!$J$5</c:f>
              <c:strCache>
                <c:ptCount val="1"/>
                <c:pt idx="0">
                  <c:v>Ancienneté (mois)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'Indicateurs Ressources'!$K$3:$V$3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'Indicateurs Ressources'!$K$5:$V$5</c:f>
              <c:numCache>
                <c:formatCode>General</c:formatCode>
                <c:ptCount val="12"/>
                <c:pt idx="0">
                  <c:v>3.5</c:v>
                </c:pt>
                <c:pt idx="1">
                  <c:v>3.1</c:v>
                </c:pt>
                <c:pt idx="2">
                  <c:v>2.4</c:v>
                </c:pt>
                <c:pt idx="3">
                  <c:v>3.1</c:v>
                </c:pt>
                <c:pt idx="4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4A-4AD3-8C27-05CDF94829B9}"/>
            </c:ext>
          </c:extLst>
        </c:ser>
        <c:ser>
          <c:idx val="2"/>
          <c:order val="2"/>
          <c:tx>
            <c:strRef>
              <c:f>'Indicateurs Ressources'!$J$6</c:f>
              <c:strCache>
                <c:ptCount val="1"/>
                <c:pt idx="0">
                  <c:v>Projection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'Indicateurs Ressources'!$K$3:$V$3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'Indicateurs Ressources'!$K$6:$V$6</c:f>
              <c:numCache>
                <c:formatCode>General</c:formatCode>
                <c:ptCount val="12"/>
                <c:pt idx="1">
                  <c:v>3.1</c:v>
                </c:pt>
                <c:pt idx="2">
                  <c:v>2.4</c:v>
                </c:pt>
                <c:pt idx="3">
                  <c:v>3.4</c:v>
                </c:pt>
                <c:pt idx="4">
                  <c:v>4.4000000000000004</c:v>
                </c:pt>
                <c:pt idx="5">
                  <c:v>5.4</c:v>
                </c:pt>
                <c:pt idx="6">
                  <c:v>6.4</c:v>
                </c:pt>
                <c:pt idx="7">
                  <c:v>7.4</c:v>
                </c:pt>
                <c:pt idx="8">
                  <c:v>8.4</c:v>
                </c:pt>
                <c:pt idx="9">
                  <c:v>9.4</c:v>
                </c:pt>
                <c:pt idx="10">
                  <c:v>10.4</c:v>
                </c:pt>
                <c:pt idx="11">
                  <c:v>11.4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4A-4AD3-8C27-05CDF9482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104912"/>
        <c:axId val="560105240"/>
      </c:lineChart>
      <c:catAx>
        <c:axId val="56010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0105240"/>
        <c:crosses val="autoZero"/>
        <c:auto val="1"/>
        <c:lblAlgn val="ctr"/>
        <c:lblOffset val="100"/>
        <c:noMultiLvlLbl val="0"/>
      </c:catAx>
      <c:valAx>
        <c:axId val="560105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010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Evolution du personnel DO (à Paris ou aux Phils)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'Indicateurs Ressources'!$J$9</c:f>
              <c:strCache>
                <c:ptCount val="1"/>
                <c:pt idx="0">
                  <c:v>CDI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'Indicateurs Ressources'!$K$9:$V$9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1E-4302-94DC-49373AC920AF}"/>
            </c:ext>
          </c:extLst>
        </c:ser>
        <c:ser>
          <c:idx val="2"/>
          <c:order val="1"/>
          <c:tx>
            <c:strRef>
              <c:f>'Indicateurs Ressources'!$J$10</c:f>
              <c:strCache>
                <c:ptCount val="1"/>
                <c:pt idx="0">
                  <c:v>CDD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'Indicateurs Ressources'!$K$10:$V$10</c:f>
              <c:numCache>
                <c:formatCode>General</c:formatCode>
                <c:ptCount val="12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1E-4302-94DC-49373AC920AF}"/>
            </c:ext>
          </c:extLst>
        </c:ser>
        <c:ser>
          <c:idx val="3"/>
          <c:order val="2"/>
          <c:tx>
            <c:strRef>
              <c:f>'Indicateurs Ressources'!$J$11</c:f>
              <c:strCache>
                <c:ptCount val="1"/>
                <c:pt idx="0">
                  <c:v>VSC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'Indicateurs Ressources'!$K$11:$V$11</c:f>
              <c:numCache>
                <c:formatCode>General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1E-4302-94DC-49373AC920AF}"/>
            </c:ext>
          </c:extLst>
        </c:ser>
        <c:ser>
          <c:idx val="4"/>
          <c:order val="3"/>
          <c:tx>
            <c:strRef>
              <c:f>'Indicateurs Ressources'!$J$12</c:f>
              <c:strCache>
                <c:ptCount val="1"/>
                <c:pt idx="0">
                  <c:v>VSI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'Indicateurs Ressources'!$K$12:$V$12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1E-4302-94DC-49373AC920AF}"/>
            </c:ext>
          </c:extLst>
        </c:ser>
        <c:ser>
          <c:idx val="5"/>
          <c:order val="4"/>
          <c:tx>
            <c:strRef>
              <c:f>'Indicateurs Ressources'!$J$13</c:f>
              <c:strCache>
                <c:ptCount val="1"/>
                <c:pt idx="0">
                  <c:v>Stagiaire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'Indicateurs Ressources'!$K$13:$V$13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1E-4302-94DC-49373AC92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6969784"/>
        <c:axId val="596969456"/>
      </c:barChart>
      <c:catAx>
        <c:axId val="5969697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6969456"/>
        <c:crosses val="autoZero"/>
        <c:auto val="1"/>
        <c:lblAlgn val="ctr"/>
        <c:lblOffset val="100"/>
        <c:noMultiLvlLbl val="0"/>
      </c:catAx>
      <c:valAx>
        <c:axId val="59696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6969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Renforcement</a:t>
            </a:r>
            <a:r>
              <a:rPr lang="fr-FR" b="1" baseline="0"/>
              <a:t> de la visibilité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TDB!$Q$32</c:f>
              <c:strCache>
                <c:ptCount val="1"/>
                <c:pt idx="0">
                  <c:v>Notoriété (OBJ 10K abonnés)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TDB!$R$31:$AC$31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TDB!$R$32:$AC$32</c:f>
              <c:numCache>
                <c:formatCode>General</c:formatCode>
                <c:ptCount val="12"/>
                <c:pt idx="0" formatCode="_-* #\ ##0.0_-;\-* #\ ##0.0_-;_-* &quot;-&quot;??_-;_-@_-">
                  <c:v>7.9589999999999996</c:v>
                </c:pt>
                <c:pt idx="1">
                  <c:v>8.3000000000000007</c:v>
                </c:pt>
                <c:pt idx="2">
                  <c:v>9</c:v>
                </c:pt>
                <c:pt idx="3">
                  <c:v>10.199999999999999</c:v>
                </c:pt>
                <c:pt idx="4">
                  <c:v>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86-4517-BB58-8226B5CA6E7A}"/>
            </c:ext>
          </c:extLst>
        </c:ser>
        <c:ser>
          <c:idx val="1"/>
          <c:order val="1"/>
          <c:tx>
            <c:strRef>
              <c:f>TDB!$Q$33</c:f>
              <c:strCache>
                <c:ptCount val="1"/>
                <c:pt idx="0">
                  <c:v>Nb de posts FB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TDB!$R$31:$AC$31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TDB!$R$33:$AC$33</c:f>
              <c:numCache>
                <c:formatCode>General</c:formatCode>
                <c:ptCount val="12"/>
                <c:pt idx="0">
                  <c:v>26</c:v>
                </c:pt>
                <c:pt idx="1">
                  <c:v>64</c:v>
                </c:pt>
                <c:pt idx="2">
                  <c:v>106</c:v>
                </c:pt>
                <c:pt idx="3">
                  <c:v>144</c:v>
                </c:pt>
                <c:pt idx="4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86-4517-BB58-8226B5CA6E7A}"/>
            </c:ext>
          </c:extLst>
        </c:ser>
        <c:ser>
          <c:idx val="2"/>
          <c:order val="2"/>
          <c:tx>
            <c:strRef>
              <c:f>TDB!$Q$34</c:f>
              <c:strCache>
                <c:ptCount val="1"/>
                <c:pt idx="0">
                  <c:v>Nb de posts IG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TDB!$R$31:$AC$31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TDB!$R$34:$AC$34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86-4517-BB58-8226B5CA6E7A}"/>
            </c:ext>
          </c:extLst>
        </c:ser>
        <c:ser>
          <c:idx val="3"/>
          <c:order val="3"/>
          <c:tx>
            <c:strRef>
              <c:f>TDB!$Q$35</c:f>
              <c:strCache>
                <c:ptCount val="1"/>
                <c:pt idx="0">
                  <c:v>Nb d'emailings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TDB!$R$31:$AC$31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TDB!$R$35:$AC$35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86-4517-BB58-8226B5CA6E7A}"/>
            </c:ext>
          </c:extLst>
        </c:ser>
        <c:ser>
          <c:idx val="4"/>
          <c:order val="4"/>
          <c:tx>
            <c:strRef>
              <c:f>TDB!$Q$36</c:f>
              <c:strCache>
                <c:ptCount val="1"/>
                <c:pt idx="0">
                  <c:v>Réalisation Plan de com (%)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TDB!$R$31:$AC$31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TDB!$R$36:$AC$36</c:f>
              <c:numCache>
                <c:formatCode>General</c:formatCode>
                <c:ptCount val="12"/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D86-4517-BB58-8226B5CA6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7046768"/>
        <c:axId val="747045784"/>
      </c:lineChart>
      <c:catAx>
        <c:axId val="74704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7045784"/>
        <c:crosses val="autoZero"/>
        <c:auto val="1"/>
        <c:lblAlgn val="ctr"/>
        <c:lblOffset val="100"/>
        <c:noMultiLvlLbl val="0"/>
      </c:catAx>
      <c:valAx>
        <c:axId val="747045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_-;\-* #\ 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704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[Tableau de bord - MAI 2020 -DO.xlsx]TCD PArtenariats!Tableau croisé dynamique2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'TCD PArtenariats'!$B$3</c:f>
              <c:strCache>
                <c:ptCount val="1"/>
                <c:pt idx="0">
                  <c:v>Somme de K€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189-4491-B5A1-DCA297FD6B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189-4491-B5A1-DCA297FD6BF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189-4491-B5A1-DCA297FD6BF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189-4491-B5A1-DCA297FD6BF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189-4491-B5A1-DCA297FD6BF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189-4491-B5A1-DCA297FD6BF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189-4491-B5A1-DCA297FD6BF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189-4491-B5A1-DCA297FD6BF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189-4491-B5A1-DCA297FD6BF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189-4491-B5A1-DCA297FD6BF6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D189-4491-B5A1-DCA297FD6BF6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D189-4491-B5A1-DCA297FD6BF6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D189-4491-B5A1-DCA297FD6BF6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D189-4491-B5A1-DCA297FD6BF6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D189-4491-B5A1-DCA297FD6BF6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D189-4491-B5A1-DCA297FD6BF6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D189-4491-B5A1-DCA297FD6BF6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D189-4491-B5A1-DCA297FD6BF6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D189-4491-B5A1-DCA297FD6BF6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D189-4491-B5A1-DCA297FD6BF6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D189-4491-B5A1-DCA297FD6BF6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D189-4491-B5A1-DCA297FD6BF6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D189-4491-B5A1-DCA297FD6BF6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D189-4491-B5A1-DCA297FD6BF6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D189-4491-B5A1-DCA297FD6BF6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D189-4491-B5A1-DCA297FD6BF6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D189-4491-B5A1-DCA297FD6BF6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D189-4491-B5A1-DCA297FD6BF6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D189-4491-B5A1-DCA297FD6BF6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D189-4491-B5A1-DCA297FD6BF6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D189-4491-B5A1-DCA297FD6BF6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D189-4491-B5A1-DCA297FD6BF6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D189-4491-B5A1-DCA297FD6BF6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D189-4491-B5A1-DCA297FD6BF6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D189-4491-B5A1-DCA297FD6BF6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D189-4491-B5A1-DCA297FD6BF6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D189-4491-B5A1-DCA297FD6BF6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D189-4491-B5A1-DCA297FD6BF6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D189-4491-B5A1-DCA297FD6BF6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58DD-47FF-85FA-368965AA5123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58DD-47FF-85FA-368965AA5123}"/>
              </c:ext>
            </c:extLst>
          </c:dPt>
          <c:cat>
            <c:strRef>
              <c:f>'TCD PArtenariats'!$A$4:$A$17</c:f>
              <c:strCache>
                <c:ptCount val="13"/>
                <c:pt idx="0">
                  <c:v>CLARINS</c:v>
                </c:pt>
                <c:pt idx="1">
                  <c:v>Voix de l'Enfant </c:v>
                </c:pt>
                <c:pt idx="2">
                  <c:v>Fondation Artelia </c:v>
                </c:pt>
                <c:pt idx="3">
                  <c:v>Fondation 154 </c:v>
                </c:pt>
                <c:pt idx="4">
                  <c:v>Fondation Air France</c:v>
                </c:pt>
                <c:pt idx="5">
                  <c:v>Fondation Engagés Solidaires</c:v>
                </c:pt>
                <c:pt idx="6">
                  <c:v>CE CLARINS </c:v>
                </c:pt>
                <c:pt idx="7">
                  <c:v>Couture4Cameleon </c:v>
                </c:pt>
                <c:pt idx="8">
                  <c:v>CLUB 51-LADIES MEETJESLAND</c:v>
                </c:pt>
                <c:pt idx="9">
                  <c:v>Ecole louis pasteur</c:v>
                </c:pt>
                <c:pt idx="10">
                  <c:v>CDC Solidaires</c:v>
                </c:pt>
                <c:pt idx="11">
                  <c:v>LAS CHICAS</c:v>
                </c:pt>
                <c:pt idx="12">
                  <c:v>Zonta Club Paris La Défense</c:v>
                </c:pt>
              </c:strCache>
            </c:strRef>
          </c:cat>
          <c:val>
            <c:numRef>
              <c:f>'TCD PArtenariats'!$B$4:$B$17</c:f>
              <c:numCache>
                <c:formatCode>General</c:formatCode>
                <c:ptCount val="13"/>
                <c:pt idx="0">
                  <c:v>16.5</c:v>
                </c:pt>
                <c:pt idx="1">
                  <c:v>13.85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6.7</c:v>
                </c:pt>
                <c:pt idx="6">
                  <c:v>6</c:v>
                </c:pt>
                <c:pt idx="7">
                  <c:v>3</c:v>
                </c:pt>
                <c:pt idx="8">
                  <c:v>2.5</c:v>
                </c:pt>
                <c:pt idx="9">
                  <c:v>1.0640000000000001</c:v>
                </c:pt>
                <c:pt idx="10">
                  <c:v>1</c:v>
                </c:pt>
                <c:pt idx="11">
                  <c:v>1</c:v>
                </c:pt>
                <c:pt idx="12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C1-4648-806C-69DC4A3405F2}"/>
            </c:ext>
          </c:extLst>
        </c:ser>
        <c:ser>
          <c:idx val="1"/>
          <c:order val="1"/>
          <c:tx>
            <c:strRef>
              <c:f>'TCD PArtenariats'!$C$3</c:f>
              <c:strCache>
                <c:ptCount val="1"/>
                <c:pt idx="0">
                  <c:v>Somme de K€2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D189-4491-B5A1-DCA297FD6B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D189-4491-B5A1-DCA297FD6BF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D189-4491-B5A1-DCA297FD6BF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D189-4491-B5A1-DCA297FD6BF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D189-4491-B5A1-DCA297FD6BF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D189-4491-B5A1-DCA297FD6BF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D189-4491-B5A1-DCA297FD6BF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D189-4491-B5A1-DCA297FD6BF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D189-4491-B5A1-DCA297FD6BF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D189-4491-B5A1-DCA297FD6BF6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D189-4491-B5A1-DCA297FD6BF6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D189-4491-B5A1-DCA297FD6BF6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D189-4491-B5A1-DCA297FD6BF6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D189-4491-B5A1-DCA297FD6BF6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D189-4491-B5A1-DCA297FD6BF6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D189-4491-B5A1-DCA297FD6BF6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D189-4491-B5A1-DCA297FD6BF6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D189-4491-B5A1-DCA297FD6BF6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D189-4491-B5A1-DCA297FD6BF6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D189-4491-B5A1-DCA297FD6BF6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D189-4491-B5A1-DCA297FD6BF6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D189-4491-B5A1-DCA297FD6BF6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D189-4491-B5A1-DCA297FD6BF6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D189-4491-B5A1-DCA297FD6BF6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D189-4491-B5A1-DCA297FD6BF6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D189-4491-B5A1-DCA297FD6BF6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D189-4491-B5A1-DCA297FD6BF6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D189-4491-B5A1-DCA297FD6BF6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D189-4491-B5A1-DCA297FD6BF6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D189-4491-B5A1-DCA297FD6BF6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D189-4491-B5A1-DCA297FD6BF6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D189-4491-B5A1-DCA297FD6BF6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F-D189-4491-B5A1-DCA297FD6BF6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1-D189-4491-B5A1-DCA297FD6BF6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3-D189-4491-B5A1-DCA297FD6BF6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5-D189-4491-B5A1-DCA297FD6BF6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7-D189-4491-B5A1-DCA297FD6BF6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9-D189-4491-B5A1-DCA297FD6BF6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9B-D189-4491-B5A1-DCA297FD6BF6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1-58DD-47FF-85FA-368965AA5123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A3-58DD-47FF-85FA-368965AA5123}"/>
              </c:ext>
            </c:extLst>
          </c:dPt>
          <c:cat>
            <c:strRef>
              <c:f>'TCD PArtenariats'!$A$4:$A$17</c:f>
              <c:strCache>
                <c:ptCount val="13"/>
                <c:pt idx="0">
                  <c:v>CLARINS</c:v>
                </c:pt>
                <c:pt idx="1">
                  <c:v>Voix de l'Enfant </c:v>
                </c:pt>
                <c:pt idx="2">
                  <c:v>Fondation Artelia </c:v>
                </c:pt>
                <c:pt idx="3">
                  <c:v>Fondation 154 </c:v>
                </c:pt>
                <c:pt idx="4">
                  <c:v>Fondation Air France</c:v>
                </c:pt>
                <c:pt idx="5">
                  <c:v>Fondation Engagés Solidaires</c:v>
                </c:pt>
                <c:pt idx="6">
                  <c:v>CE CLARINS </c:v>
                </c:pt>
                <c:pt idx="7">
                  <c:v>Couture4Cameleon </c:v>
                </c:pt>
                <c:pt idx="8">
                  <c:v>CLUB 51-LADIES MEETJESLAND</c:v>
                </c:pt>
                <c:pt idx="9">
                  <c:v>Ecole louis pasteur</c:v>
                </c:pt>
                <c:pt idx="10">
                  <c:v>CDC Solidaires</c:v>
                </c:pt>
                <c:pt idx="11">
                  <c:v>LAS CHICAS</c:v>
                </c:pt>
                <c:pt idx="12">
                  <c:v>Zonta Club Paris La Défense</c:v>
                </c:pt>
              </c:strCache>
            </c:strRef>
          </c:cat>
          <c:val>
            <c:numRef>
              <c:f>'TCD PArtenariats'!$C$4:$C$17</c:f>
              <c:numCache>
                <c:formatCode>0.00%</c:formatCode>
                <c:ptCount val="13"/>
                <c:pt idx="0">
                  <c:v>0.20155379654060393</c:v>
                </c:pt>
                <c:pt idx="1">
                  <c:v>0.16918303527802206</c:v>
                </c:pt>
                <c:pt idx="2">
                  <c:v>0.1221538160852145</c:v>
                </c:pt>
                <c:pt idx="3">
                  <c:v>0.1221538160852145</c:v>
                </c:pt>
                <c:pt idx="4">
                  <c:v>0.1221538160852145</c:v>
                </c:pt>
                <c:pt idx="5">
                  <c:v>8.184305677709372E-2</c:v>
                </c:pt>
                <c:pt idx="6">
                  <c:v>7.3292289651128703E-2</c:v>
                </c:pt>
                <c:pt idx="7">
                  <c:v>3.6646144825564352E-2</c:v>
                </c:pt>
                <c:pt idx="8">
                  <c:v>3.0538454021303625E-2</c:v>
                </c:pt>
                <c:pt idx="9">
                  <c:v>1.2997166031466823E-2</c:v>
                </c:pt>
                <c:pt idx="10">
                  <c:v>1.2215381608521449E-2</c:v>
                </c:pt>
                <c:pt idx="11">
                  <c:v>1.2215381608521449E-2</c:v>
                </c:pt>
                <c:pt idx="12">
                  <c:v>3.0538454021303623E-3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C1-4648-806C-69DC4A340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7</xdr:row>
      <xdr:rowOff>0</xdr:rowOff>
    </xdr:from>
    <xdr:to>
      <xdr:col>29</xdr:col>
      <xdr:colOff>5603</xdr:colOff>
      <xdr:row>22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05B8926-F59C-4475-9F01-AD1E034558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204106</xdr:colOff>
      <xdr:row>9</xdr:row>
      <xdr:rowOff>0</xdr:rowOff>
    </xdr:from>
    <xdr:to>
      <xdr:col>14</xdr:col>
      <xdr:colOff>0</xdr:colOff>
      <xdr:row>22</xdr:row>
      <xdr:rowOff>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FCA083E-5A08-443C-B3EA-F00F2BC877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204106</xdr:colOff>
      <xdr:row>36</xdr:row>
      <xdr:rowOff>0</xdr:rowOff>
    </xdr:from>
    <xdr:to>
      <xdr:col>14</xdr:col>
      <xdr:colOff>0</xdr:colOff>
      <xdr:row>49</xdr:row>
      <xdr:rowOff>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7460225-151C-4D72-AF57-F845532F1F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979714</xdr:colOff>
      <xdr:row>39</xdr:row>
      <xdr:rowOff>0</xdr:rowOff>
    </xdr:from>
    <xdr:to>
      <xdr:col>26</xdr:col>
      <xdr:colOff>0</xdr:colOff>
      <xdr:row>48</xdr:row>
      <xdr:rowOff>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6CA0737C-2D4D-4486-A45C-D2C5475E906D}"/>
            </a:ext>
          </a:extLst>
        </xdr:cNvPr>
        <xdr:cNvSpPr txBox="1"/>
      </xdr:nvSpPr>
      <xdr:spPr>
        <a:xfrm>
          <a:off x="6653893" y="7320643"/>
          <a:ext cx="3633107" cy="1714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Indicateurs simples et cibles à confirmer</a:t>
          </a:r>
          <a:r>
            <a:rPr lang="fr-FR" sz="1100" baseline="0"/>
            <a:t> / Valider</a:t>
          </a:r>
        </a:p>
        <a:p>
          <a:r>
            <a:rPr lang="fr-FR" sz="1100" baseline="0"/>
            <a:t>+ Sélection des indicateurs à mettre en graphique</a:t>
          </a:r>
          <a:endParaRPr lang="fr-FR" sz="1100"/>
        </a:p>
        <a:p>
          <a:endParaRPr lang="fr-FR" sz="1100"/>
        </a:p>
      </xdr:txBody>
    </xdr:sp>
    <xdr:clientData/>
  </xdr:twoCellAnchor>
  <xdr:twoCellAnchor>
    <xdr:from>
      <xdr:col>1</xdr:col>
      <xdr:colOff>0</xdr:colOff>
      <xdr:row>49</xdr:row>
      <xdr:rowOff>0</xdr:rowOff>
    </xdr:from>
    <xdr:to>
      <xdr:col>14</xdr:col>
      <xdr:colOff>0</xdr:colOff>
      <xdr:row>57</xdr:row>
      <xdr:rowOff>1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0683E81-86FC-4F4D-B5D1-C909811AB7E5}"/>
            </a:ext>
          </a:extLst>
        </xdr:cNvPr>
        <xdr:cNvSpPr txBox="1"/>
      </xdr:nvSpPr>
      <xdr:spPr>
        <a:xfrm>
          <a:off x="204107" y="8654143"/>
          <a:ext cx="5061857" cy="9525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COMMENTAIRES :</a:t>
          </a:r>
        </a:p>
        <a:p>
          <a:r>
            <a:rPr lang="fr-FR" sz="1100"/>
            <a:t>Programmation des interventions écoles 2020 conforme au plan et à l'exigence AirFrance. Interruption des interventions</a:t>
          </a:r>
          <a:r>
            <a:rPr lang="fr-FR" sz="1100" baseline="0"/>
            <a:t> au 11 mars 2020 - non reprises à ce jour. Préparation d'un webinar pour les encadrants. Développement d'une offre pédagogique et d'un soutien à la parentalité</a:t>
          </a:r>
        </a:p>
        <a:p>
          <a:r>
            <a:rPr lang="fr-FR" sz="1100"/>
            <a:t>2 partenariats avec des étudiants pour de la sensibilisation contre la maltraitance (Petits Caméléons, Motus et Bouche Cousue). </a:t>
          </a:r>
        </a:p>
        <a:p>
          <a:endParaRPr lang="fr-FR" sz="1100"/>
        </a:p>
      </xdr:txBody>
    </xdr:sp>
    <xdr:clientData/>
  </xdr:twoCellAnchor>
  <xdr:twoCellAnchor>
    <xdr:from>
      <xdr:col>1</xdr:col>
      <xdr:colOff>1</xdr:colOff>
      <xdr:row>22</xdr:row>
      <xdr:rowOff>0</xdr:rowOff>
    </xdr:from>
    <xdr:to>
      <xdr:col>14</xdr:col>
      <xdr:colOff>1</xdr:colOff>
      <xdr:row>28</xdr:row>
      <xdr:rowOff>0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217F10EF-B2B9-4097-B07D-79E8DD1720BB}"/>
            </a:ext>
          </a:extLst>
        </xdr:cNvPr>
        <xdr:cNvSpPr txBox="1"/>
      </xdr:nvSpPr>
      <xdr:spPr>
        <a:xfrm>
          <a:off x="212913" y="4034118"/>
          <a:ext cx="5098676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COMMENTAIRES :</a:t>
          </a:r>
        </a:p>
        <a:p>
          <a:r>
            <a:rPr lang="fr-FR" sz="1100"/>
            <a:t>Baisse</a:t>
          </a:r>
          <a:r>
            <a:rPr lang="fr-FR" sz="1100" baseline="0"/>
            <a:t> du nombre de parrains actifs en avril du fait de départ de filleuls du programme. U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 augmentation est prévue à nouveau courant juillet pour des reprises de parrainage. </a:t>
          </a:r>
          <a:r>
            <a:rPr lang="fr-FR"/>
            <a:t> </a:t>
          </a:r>
        </a:p>
        <a:p>
          <a:r>
            <a:rPr lang="fr-FR"/>
            <a:t>340</a:t>
          </a:r>
          <a:r>
            <a:rPr lang="fr-FR" baseline="0"/>
            <a:t> p</a:t>
          </a:r>
          <a:r>
            <a:rPr lang="fr-FR"/>
            <a:t>arrains non à jour de leur cotisation au</a:t>
          </a:r>
          <a:r>
            <a:rPr lang="fr-FR" baseline="0"/>
            <a:t> 31/05/2020 - Relance le 10/06/2020 (comme pour les bénévoles et autres adhérents)</a:t>
          </a:r>
          <a:endParaRPr lang="fr-FR" sz="1100"/>
        </a:p>
      </xdr:txBody>
    </xdr:sp>
    <xdr:clientData/>
  </xdr:twoCellAnchor>
  <xdr:twoCellAnchor>
    <xdr:from>
      <xdr:col>31</xdr:col>
      <xdr:colOff>0</xdr:colOff>
      <xdr:row>20</xdr:row>
      <xdr:rowOff>6185</xdr:rowOff>
    </xdr:from>
    <xdr:to>
      <xdr:col>36</xdr:col>
      <xdr:colOff>0</xdr:colOff>
      <xdr:row>28</xdr:row>
      <xdr:rowOff>0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5EEEECC4-9FED-46AF-856C-D076FC10AECD}"/>
            </a:ext>
          </a:extLst>
        </xdr:cNvPr>
        <xdr:cNvSpPr txBox="1"/>
      </xdr:nvSpPr>
      <xdr:spPr>
        <a:xfrm>
          <a:off x="12091147" y="3659303"/>
          <a:ext cx="5345206" cy="15178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COMMENTAIRES :</a:t>
          </a:r>
        </a:p>
      </xdr:txBody>
    </xdr:sp>
    <xdr:clientData/>
  </xdr:twoCellAnchor>
  <xdr:twoCellAnchor>
    <xdr:from>
      <xdr:col>31</xdr:col>
      <xdr:colOff>0</xdr:colOff>
      <xdr:row>53</xdr:row>
      <xdr:rowOff>0</xdr:rowOff>
    </xdr:from>
    <xdr:to>
      <xdr:col>36</xdr:col>
      <xdr:colOff>0</xdr:colOff>
      <xdr:row>56</xdr:row>
      <xdr:rowOff>0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F631E0F9-56A1-4738-B9A9-4CEC42556FE6}"/>
            </a:ext>
          </a:extLst>
        </xdr:cNvPr>
        <xdr:cNvSpPr txBox="1"/>
      </xdr:nvSpPr>
      <xdr:spPr>
        <a:xfrm>
          <a:off x="11880273" y="9975273"/>
          <a:ext cx="5836227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COMMENTAIRES :</a:t>
          </a:r>
        </a:p>
        <a:p>
          <a:pPr marL="0" indent="0"/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Arrivée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DO avec toute nouvelle équipe (sauf salariée MSF) - juste avant l'annonce du confinement - </a:t>
          </a: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Départ anticipé de 2 VSC Partenariat - remplacement en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mai 2020</a:t>
          </a:r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indent="0"/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</xdr:colOff>
      <xdr:row>22</xdr:row>
      <xdr:rowOff>0</xdr:rowOff>
    </xdr:from>
    <xdr:to>
      <xdr:col>29</xdr:col>
      <xdr:colOff>0</xdr:colOff>
      <xdr:row>28</xdr:row>
      <xdr:rowOff>0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CEC48B2C-C626-4665-935B-BFAD99252A9D}"/>
            </a:ext>
          </a:extLst>
        </xdr:cNvPr>
        <xdr:cNvSpPr txBox="1"/>
      </xdr:nvSpPr>
      <xdr:spPr>
        <a:xfrm>
          <a:off x="5737413" y="4034118"/>
          <a:ext cx="5255558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COMMENTAIRES :</a:t>
          </a:r>
        </a:p>
        <a:p>
          <a:r>
            <a:rPr lang="fr-FR" sz="1100"/>
            <a:t>Stratégie</a:t>
          </a:r>
          <a:r>
            <a:rPr lang="fr-FR" sz="1100" baseline="0"/>
            <a:t> de prospection en cours de déploiement. Arrivée de 2 nouveaux SC Partenariat plus performants</a:t>
          </a:r>
          <a:endParaRPr lang="fr-FR" sz="1100"/>
        </a:p>
      </xdr:txBody>
    </xdr:sp>
    <xdr:clientData/>
  </xdr:twoCellAnchor>
  <xdr:twoCellAnchor>
    <xdr:from>
      <xdr:col>31</xdr:col>
      <xdr:colOff>0</xdr:colOff>
      <xdr:row>42</xdr:row>
      <xdr:rowOff>0</xdr:rowOff>
    </xdr:from>
    <xdr:to>
      <xdr:col>36</xdr:col>
      <xdr:colOff>0</xdr:colOff>
      <xdr:row>53</xdr:row>
      <xdr:rowOff>0</xdr:rowOff>
    </xdr:to>
    <xdr:graphicFrame macro="">
      <xdr:nvGraphicFramePr>
        <xdr:cNvPr id="7" name="Graphique 1">
          <a:extLst>
            <a:ext uri="{FF2B5EF4-FFF2-40B4-BE49-F238E27FC236}">
              <a16:creationId xmlns:a16="http://schemas.microsoft.com/office/drawing/2014/main" id="{BEFCB640-E861-4FE7-9E87-7C1FC2078C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</xdr:colOff>
      <xdr:row>50</xdr:row>
      <xdr:rowOff>0</xdr:rowOff>
    </xdr:from>
    <xdr:to>
      <xdr:col>29</xdr:col>
      <xdr:colOff>1</xdr:colOff>
      <xdr:row>57</xdr:row>
      <xdr:rowOff>0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D1F41E43-30D7-4FDC-8E31-C22BF6525CC8}"/>
            </a:ext>
          </a:extLst>
        </xdr:cNvPr>
        <xdr:cNvSpPr txBox="1"/>
      </xdr:nvSpPr>
      <xdr:spPr>
        <a:xfrm>
          <a:off x="5674180" y="9416143"/>
          <a:ext cx="5225142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COMMENTAIRES :</a:t>
          </a:r>
        </a:p>
        <a:p>
          <a:pPr marL="0" indent="0"/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Objectif des 10k Abonnés atteint en avril.</a:t>
          </a:r>
        </a:p>
        <a:p>
          <a:pPr marL="0" indent="0"/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Plan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de communication établi en mai. Renforcement présence Instagram (aucun post de sept. 2019 à mars 2020). Chanson Modern heroes. Dossiers spéciaux sur confinement et maltraitance; cyberviolence, Live chats hebdo avec personnalités externes. Outil de gestion de projet Trello, Prestataire pour référencement SEO</a:t>
          </a:r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-1</xdr:colOff>
      <xdr:row>31</xdr:row>
      <xdr:rowOff>0</xdr:rowOff>
    </xdr:from>
    <xdr:to>
      <xdr:col>36</xdr:col>
      <xdr:colOff>0</xdr:colOff>
      <xdr:row>42</xdr:row>
      <xdr:rowOff>0</xdr:rowOff>
    </xdr:to>
    <xdr:graphicFrame macro="">
      <xdr:nvGraphicFramePr>
        <xdr:cNvPr id="11" name="Graphique 1">
          <a:extLst>
            <a:ext uri="{FF2B5EF4-FFF2-40B4-BE49-F238E27FC236}">
              <a16:creationId xmlns:a16="http://schemas.microsoft.com/office/drawing/2014/main" id="{B23D3AEC-D146-43B8-821B-5A13FFD1CB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454602</xdr:colOff>
      <xdr:row>36</xdr:row>
      <xdr:rowOff>48491</xdr:rowOff>
    </xdr:from>
    <xdr:to>
      <xdr:col>27</xdr:col>
      <xdr:colOff>34636</xdr:colOff>
      <xdr:row>48</xdr:row>
      <xdr:rowOff>121227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DBCA8E3F-6472-439E-AB38-16ECFCD239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</xdr:row>
      <xdr:rowOff>33336</xdr:rowOff>
    </xdr:from>
    <xdr:to>
      <xdr:col>10</xdr:col>
      <xdr:colOff>304800</xdr:colOff>
      <xdr:row>20</xdr:row>
      <xdr:rowOff>171450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BC6A353-621F-4928-B523-E87A7859B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ean-Baptiste JOURDANT" id="{E9D264B8-2057-40A0-9D94-41ACE039BA88}" userId="d37852a40b83a14e" providerId="Windows Live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MELEON" refreshedDate="43991.80138877315" createdVersion="6" refreshedVersion="6" minRefreshableVersion="3" recordCount="48" xr:uid="{F1EE97A5-C4B1-4805-B0B3-4A65DBCF3F71}">
  <cacheSource type="worksheet">
    <worksheetSource name="Tableau2"/>
  </cacheSource>
  <cacheFields count="11">
    <cacheField name="Nom" numFmtId="0">
      <sharedItems containsBlank="1" count="71">
        <s v="AFD"/>
        <s v="CDC Solidaires"/>
        <s v="CLARINS"/>
        <s v="CE CLARINS "/>
        <s v="Christian Courtin"/>
        <s v="CHL MAE"/>
        <s v="CLUB 51-LADIES MEETJESLAND"/>
        <s v="COCKTAIL SCANDINAVE"/>
        <s v="Fondation NIF Luxembourg "/>
        <s v="Couture4Cameleon "/>
        <s v="Dance4children "/>
        <s v="Delta Trailers"/>
        <s v="Ecole louis pasteur"/>
        <s v="La Petite Manille  (FR et PHILS)"/>
        <s v="LAS CHICAS"/>
        <s v="Fondation 154 "/>
        <s v="Fondation Air France"/>
        <s v="Fondation Artelia "/>
        <s v="Fondation Engagés Solidaires"/>
        <s v="Fondation ENGIE"/>
        <s v="Fondation Jean Casseigne "/>
        <s v="Fondation KPMG Luxembourg"/>
        <s v="Fondation Ombrie"/>
        <s v="Fondation pour l'Enfance"/>
        <s v="Fondation TAO"/>
        <s v="Le Grand Chalon (France)"/>
        <s v="Johnson &amp; johnson Laboratoire Janssen  "/>
        <s v="Subvention Fonds exceptionnel Parentalité (Taquet)"/>
        <s v="Talents et Partage (asso SG)"/>
        <s v="Voix de l'Enfant "/>
        <s v="Zonta Club Paris La Défense"/>
        <s v="Cabinet Wavestone:  mécénat de compétence "/>
        <s v="Autres fondations, Stratégie de collecte PHIL"/>
        <s v="Typhon 2020"/>
        <s v="Autres fondations, Stratégie de collecte FR (non affecté)"/>
        <s v="Dons non affectés Luxembourg Hossen + Loyens"/>
        <s v="Autres dons non affectés"/>
        <s v="Cotisations"/>
        <s v="Course des héros "/>
        <s v="COVID-19 Hello Asso"/>
        <m u="1"/>
        <s v="SGIVE" u="1"/>
        <s v="Laboratoire Janssen  " u="1"/>
        <s v="Fondation Artelia (aide urgence typhon )" u="1"/>
        <s v="France" u="1"/>
        <s v="Course des héros on a eu plus que ca !" u="1"/>
        <s v="Fonds Meyer" u="1"/>
        <s v="Cocktail Fête dela montagne" u="1"/>
        <s v="Cotisation" u="1"/>
        <s v="Cadeaux divers (attention pas meme tx KDO et DSF)" u="1"/>
        <s v="Parrainage USA" u="1"/>
        <s v="Parrainage Suisse" u="1"/>
        <s v="Talents et Partage" u="1"/>
        <s v="Parrainage France" u="1"/>
        <s v="Luxembourg" u="1"/>
        <s v="Suisse" u="1"/>
        <s v="Autres fondations, Stratégie de collecte FR" u="1"/>
        <s v="Service civique (plus pour 2020 car tous sous Impact Intl)" u="1"/>
        <s v="Soirée carla" u="1"/>
        <s v="Parrainage Luxembourg" u="1"/>
        <s v="Voix de l'Enfant (MSF, Prog Demain Sezane)" u="1"/>
        <s v="Hello asso" u="1"/>
        <s v="Voix de l'Enfant (urgence typhon) " u="1"/>
        <s v="Dance4children (Non affecté)" u="1"/>
        <s v="Stratégie de collecte FR (non affecté)" u="1"/>
        <s v="CDC" u="1"/>
        <s v="CE CLARINS" u="1"/>
        <s v="CLARINS LOGISTIQUE" u="1"/>
        <s v="Voix de l'Enfant urgence typhon " u="1"/>
        <s v="Fondation NIF Luxembourg (c'est pas Mae ni CHL)" u="1"/>
        <s v="Typhon " u="1"/>
      </sharedItems>
    </cacheField>
    <cacheField name="Destination" numFmtId="0">
      <sharedItems containsBlank="1"/>
    </cacheField>
    <cacheField name="Collecte_x000a_2020" numFmtId="165">
      <sharedItems containsString="0" containsBlank="1" containsNumber="1" minValue="250" maxValue="266666.66666666669"/>
    </cacheField>
    <cacheField name="MS PHIL" numFmtId="165">
      <sharedItems containsString="0" containsBlank="1" containsNumber="1" minValue="0" maxValue="190000"/>
    </cacheField>
    <cacheField name="MSF" numFmtId="165">
      <sharedItems containsString="0" containsBlank="1" containsNumber="1" containsInteger="1" minValue="0" maxValue="25200"/>
    </cacheField>
    <cacheField name="FS CAM FR" numFmtId="165">
      <sharedItems containsString="0" containsBlank="1" containsNumber="1" minValue="1000" maxValue="76666.666666666672"/>
    </cacheField>
    <cacheField name="% de succès" numFmtId="0">
      <sharedItems containsString="0" containsBlank="1" containsNumber="1" minValue="0.5" maxValue="1"/>
    </cacheField>
    <cacheField name="K€" numFmtId="165">
      <sharedItems containsSemiMixedTypes="0" containsString="0" containsNumber="1" minValue="0" maxValue="266.66666666666669"/>
    </cacheField>
    <cacheField name="Statut" numFmtId="0">
      <sharedItems containsBlank="1" count="8">
        <s v="Hors scope"/>
        <s v="Acquis"/>
        <s v="A solliciter"/>
        <s v="Sollicité"/>
        <s v="Refusé"/>
        <m u="1"/>
        <s v="Latent" u="1"/>
        <s v="Demandé" u="1"/>
      </sharedItems>
    </cacheField>
    <cacheField name="Date" numFmtId="0">
      <sharedItems containsNonDate="0" containsDate="1" containsString="0" containsBlank="1" minDate="2020-01-01T00:00:00" maxDate="2021-01-01T00:00:00" count="26">
        <d v="2020-07-01T00:00:00"/>
        <d v="2020-07-31T00:00:00"/>
        <d v="2020-03-26T00:00:00"/>
        <d v="2020-03-27T00:00:00"/>
        <d v="2020-01-20T00:00:00"/>
        <d v="2020-10-01T00:00:00"/>
        <d v="2020-08-01T00:00:00"/>
        <d v="2020-01-27T00:00:00"/>
        <d v="2020-12-01T00:00:00"/>
        <d v="2020-09-01T00:00:00"/>
        <d v="2020-05-31T00:00:00"/>
        <d v="2020-02-01T00:00:00"/>
        <m/>
        <d v="2020-01-21T00:00:00"/>
        <d v="2020-05-29T00:00:00"/>
        <d v="2020-05-07T00:00:00"/>
        <d v="2020-01-01T00:00:00"/>
        <d v="2020-04-01T00:00:00"/>
        <d v="2020-03-01T00:00:00"/>
        <d v="2020-05-28T00:00:00"/>
        <d v="2020-09-30T00:00:00"/>
        <d v="2020-11-01T00:00:00"/>
        <d v="2020-05-15T00:00:00"/>
        <d v="2020-04-29T00:00:00"/>
        <d v="2020-04-14T00:00:00"/>
        <d v="2020-12-31T00:00:00"/>
      </sharedItems>
      <fieldGroup par="10" base="9">
        <rangePr groupBy="days" startDate="2020-01-01T00:00:00" endDate="2021-01-01T00:00:00"/>
        <groupItems count="368">
          <s v="(vide)"/>
          <s v="01-janv"/>
          <s v="02-janv"/>
          <s v="03-janv"/>
          <s v="04-janv"/>
          <s v="05-janv"/>
          <s v="06-janv"/>
          <s v="07-janv"/>
          <s v="08-janv"/>
          <s v="09-janv"/>
          <s v="10-janv"/>
          <s v="11-janv"/>
          <s v="12-janv"/>
          <s v="13-janv"/>
          <s v="14-janv"/>
          <s v="15-janv"/>
          <s v="16-janv"/>
          <s v="17-janv"/>
          <s v="18-janv"/>
          <s v="19-janv"/>
          <s v="20-janv"/>
          <s v="21-janv"/>
          <s v="22-janv"/>
          <s v="23-janv"/>
          <s v="24-janv"/>
          <s v="25-janv"/>
          <s v="26-janv"/>
          <s v="27-janv"/>
          <s v="28-janv"/>
          <s v="29-janv"/>
          <s v="30-janv"/>
          <s v="31-janv"/>
          <s v="01-févr"/>
          <s v="02-févr"/>
          <s v="03-févr"/>
          <s v="04-févr"/>
          <s v="05-févr"/>
          <s v="06-févr"/>
          <s v="07-févr"/>
          <s v="08-févr"/>
          <s v="09-févr"/>
          <s v="10-févr"/>
          <s v="11-févr"/>
          <s v="12-févr"/>
          <s v="13-févr"/>
          <s v="14-févr"/>
          <s v="15-févr"/>
          <s v="16-févr"/>
          <s v="17-févr"/>
          <s v="18-févr"/>
          <s v="19-févr"/>
          <s v="20-févr"/>
          <s v="21-févr"/>
          <s v="22-févr"/>
          <s v="23-févr"/>
          <s v="24-févr"/>
          <s v="25-févr"/>
          <s v="26-févr"/>
          <s v="27-févr"/>
          <s v="28-févr"/>
          <s v="29-févr"/>
          <s v="01-mars"/>
          <s v="02-mars"/>
          <s v="03-mars"/>
          <s v="04-mars"/>
          <s v="05-mars"/>
          <s v="06-mars"/>
          <s v="07-mars"/>
          <s v="08-mars"/>
          <s v="09-mars"/>
          <s v="10-mars"/>
          <s v="11-mars"/>
          <s v="12-mars"/>
          <s v="13-mars"/>
          <s v="14-mars"/>
          <s v="15-mars"/>
          <s v="16-mars"/>
          <s v="17-mars"/>
          <s v="18-mars"/>
          <s v="19-mars"/>
          <s v="20-mars"/>
          <s v="21-mars"/>
          <s v="22-mars"/>
          <s v="23-mars"/>
          <s v="24-mars"/>
          <s v="25-mars"/>
          <s v="26-mars"/>
          <s v="27-mars"/>
          <s v="28-mars"/>
          <s v="29-mars"/>
          <s v="30-mars"/>
          <s v="31-mars"/>
          <s v="01-avr"/>
          <s v="02-avr"/>
          <s v="03-avr"/>
          <s v="04-avr"/>
          <s v="05-avr"/>
          <s v="06-avr"/>
          <s v="07-avr"/>
          <s v="08-avr"/>
          <s v="09-avr"/>
          <s v="10-avr"/>
          <s v="11-avr"/>
          <s v="12-avr"/>
          <s v="13-avr"/>
          <s v="14-avr"/>
          <s v="15-avr"/>
          <s v="16-avr"/>
          <s v="17-avr"/>
          <s v="18-avr"/>
          <s v="19-avr"/>
          <s v="20-avr"/>
          <s v="21-avr"/>
          <s v="22-avr"/>
          <s v="23-avr"/>
          <s v="24-avr"/>
          <s v="25-avr"/>
          <s v="26-avr"/>
          <s v="27-avr"/>
          <s v="28-avr"/>
          <s v="29-avr"/>
          <s v="30-avr"/>
          <s v="01-mai"/>
          <s v="02-mai"/>
          <s v="03-mai"/>
          <s v="04-mai"/>
          <s v="05-mai"/>
          <s v="06-mai"/>
          <s v="07-mai"/>
          <s v="08-mai"/>
          <s v="09-mai"/>
          <s v="10-mai"/>
          <s v="11-mai"/>
          <s v="12-mai"/>
          <s v="13-mai"/>
          <s v="14-mai"/>
          <s v="15-mai"/>
          <s v="16-mai"/>
          <s v="17-mai"/>
          <s v="18-mai"/>
          <s v="19-mai"/>
          <s v="20-mai"/>
          <s v="21-mai"/>
          <s v="22-mai"/>
          <s v="23-mai"/>
          <s v="24-mai"/>
          <s v="25-mai"/>
          <s v="26-mai"/>
          <s v="27-mai"/>
          <s v="28-mai"/>
          <s v="29-mai"/>
          <s v="30-mai"/>
          <s v="31-mai"/>
          <s v="01-juin"/>
          <s v="02-juin"/>
          <s v="03-juin"/>
          <s v="04-juin"/>
          <s v="05-juin"/>
          <s v="06-juin"/>
          <s v="07-juin"/>
          <s v="08-juin"/>
          <s v="09-juin"/>
          <s v="10-juin"/>
          <s v="11-juin"/>
          <s v="12-juin"/>
          <s v="13-juin"/>
          <s v="14-juin"/>
          <s v="15-juin"/>
          <s v="16-juin"/>
          <s v="17-juin"/>
          <s v="18-juin"/>
          <s v="19-juin"/>
          <s v="20-juin"/>
          <s v="21-juin"/>
          <s v="22-juin"/>
          <s v="23-juin"/>
          <s v="24-juin"/>
          <s v="25-juin"/>
          <s v="26-juin"/>
          <s v="27-juin"/>
          <s v="28-juin"/>
          <s v="29-juin"/>
          <s v="30-juin"/>
          <s v="01-juil"/>
          <s v="02-juil"/>
          <s v="03-juil"/>
          <s v="04-juil"/>
          <s v="05-juil"/>
          <s v="06-juil"/>
          <s v="07-juil"/>
          <s v="08-juil"/>
          <s v="09-juil"/>
          <s v="10-juil"/>
          <s v="11-juil"/>
          <s v="12-juil"/>
          <s v="13-juil"/>
          <s v="14-juil"/>
          <s v="15-juil"/>
          <s v="16-juil"/>
          <s v="17-juil"/>
          <s v="18-juil"/>
          <s v="19-juil"/>
          <s v="20-juil"/>
          <s v="21-juil"/>
          <s v="22-juil"/>
          <s v="23-juil"/>
          <s v="24-juil"/>
          <s v="25-juil"/>
          <s v="26-juil"/>
          <s v="27-juil"/>
          <s v="28-juil"/>
          <s v="29-juil"/>
          <s v="30-juil"/>
          <s v="31-juil"/>
          <s v="01-août"/>
          <s v="02-août"/>
          <s v="03-août"/>
          <s v="04-août"/>
          <s v="05-août"/>
          <s v="06-août"/>
          <s v="07-août"/>
          <s v="08-août"/>
          <s v="09-août"/>
          <s v="10-août"/>
          <s v="11-août"/>
          <s v="12-août"/>
          <s v="13-août"/>
          <s v="14-août"/>
          <s v="15-août"/>
          <s v="16-août"/>
          <s v="17-août"/>
          <s v="18-août"/>
          <s v="19-août"/>
          <s v="20-août"/>
          <s v="21-août"/>
          <s v="22-août"/>
          <s v="23-août"/>
          <s v="24-août"/>
          <s v="25-août"/>
          <s v="26-août"/>
          <s v="27-août"/>
          <s v="28-août"/>
          <s v="29-août"/>
          <s v="30-août"/>
          <s v="31-août"/>
          <s v="01-sept"/>
          <s v="02-sept"/>
          <s v="03-sept"/>
          <s v="04-sept"/>
          <s v="05-sept"/>
          <s v="06-sept"/>
          <s v="07-sept"/>
          <s v="08-sept"/>
          <s v="09-sept"/>
          <s v="10-sept"/>
          <s v="11-sept"/>
          <s v="12-sept"/>
          <s v="13-sept"/>
          <s v="14-sept"/>
          <s v="15-sept"/>
          <s v="16-sept"/>
          <s v="17-sept"/>
          <s v="18-sept"/>
          <s v="19-sept"/>
          <s v="20-sept"/>
          <s v="21-sept"/>
          <s v="22-sept"/>
          <s v="23-sept"/>
          <s v="24-sept"/>
          <s v="25-sept"/>
          <s v="26-sept"/>
          <s v="27-sept"/>
          <s v="28-sept"/>
          <s v="29-sept"/>
          <s v="30-sept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éc"/>
          <s v="02-déc"/>
          <s v="03-déc"/>
          <s v="04-déc"/>
          <s v="05-déc"/>
          <s v="06-déc"/>
          <s v="07-déc"/>
          <s v="08-déc"/>
          <s v="09-déc"/>
          <s v="10-déc"/>
          <s v="11-déc"/>
          <s v="12-déc"/>
          <s v="13-déc"/>
          <s v="14-déc"/>
          <s v="15-déc"/>
          <s v="16-déc"/>
          <s v="17-déc"/>
          <s v="18-déc"/>
          <s v="19-déc"/>
          <s v="20-déc"/>
          <s v="21-déc"/>
          <s v="22-déc"/>
          <s v="23-déc"/>
          <s v="24-déc"/>
          <s v="25-déc"/>
          <s v="26-déc"/>
          <s v="27-déc"/>
          <s v="28-déc"/>
          <s v="29-déc"/>
          <s v="30-déc"/>
          <s v="31-déc"/>
          <s v="&gt;01/01/2021"/>
        </groupItems>
      </fieldGroup>
    </cacheField>
    <cacheField name="Mois" numFmtId="0" databaseField="0">
      <fieldGroup base="9">
        <rangePr groupBy="months" startDate="2020-01-01T00:00:00" endDate="2021-01-01T00:00:00"/>
        <groupItems count="14">
          <s v="&lt;01/01/2020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/01/20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x v="0"/>
    <s v="REHAB PASSI"/>
    <n v="266666.66666666669"/>
    <n v="190000"/>
    <n v="0"/>
    <n v="76666.666666666672"/>
    <n v="0.75"/>
    <n v="266.66666666666669"/>
    <x v="0"/>
    <x v="0"/>
  </r>
  <r>
    <x v="1"/>
    <s v="Construction water tank"/>
    <n v="1000"/>
    <n v="1000"/>
    <m/>
    <m/>
    <m/>
    <n v="1"/>
    <x v="1"/>
    <x v="1"/>
  </r>
  <r>
    <x v="2"/>
    <m/>
    <n v="10000"/>
    <m/>
    <m/>
    <n v="10000"/>
    <n v="1"/>
    <n v="10"/>
    <x v="2"/>
    <x v="2"/>
  </r>
  <r>
    <x v="2"/>
    <s v="Prix Clarins"/>
    <n v="15000"/>
    <m/>
    <m/>
    <n v="15000"/>
    <n v="1"/>
    <n v="15"/>
    <x v="1"/>
    <x v="2"/>
  </r>
  <r>
    <x v="2"/>
    <s v="Vente de produits partage"/>
    <n v="1500"/>
    <m/>
    <m/>
    <n v="1500"/>
    <n v="1"/>
    <n v="1.5"/>
    <x v="1"/>
    <x v="3"/>
  </r>
  <r>
    <x v="3"/>
    <m/>
    <n v="6000"/>
    <m/>
    <m/>
    <n v="6000"/>
    <m/>
    <n v="6"/>
    <x v="1"/>
    <x v="4"/>
  </r>
  <r>
    <x v="4"/>
    <m/>
    <n v="10000"/>
    <n v="0"/>
    <m/>
    <n v="10000"/>
    <m/>
    <n v="10"/>
    <x v="2"/>
    <x v="5"/>
  </r>
  <r>
    <x v="5"/>
    <s v="Rehab Passi Job Placement (quotepart 2020 cycle 1 année 1)"/>
    <n v="99999.999999999898"/>
    <n v="99999.999999999898"/>
    <m/>
    <m/>
    <n v="0.5"/>
    <n v="99.999999999999901"/>
    <x v="0"/>
    <x v="6"/>
  </r>
  <r>
    <x v="5"/>
    <s v="Rehab Negros Quotepart 2020 (Cycle 2 année 1 )"/>
    <n v="99999.999999999898"/>
    <n v="99999.999999999898"/>
    <m/>
    <m/>
    <n v="0.5"/>
    <n v="99.999999999999901"/>
    <x v="0"/>
    <x v="6"/>
  </r>
  <r>
    <x v="6"/>
    <s v="Santé Phils"/>
    <n v="2500"/>
    <n v="2500"/>
    <m/>
    <m/>
    <n v="1"/>
    <n v="2.5"/>
    <x v="1"/>
    <x v="7"/>
  </r>
  <r>
    <x v="7"/>
    <s v="Fête de la montagne"/>
    <n v="32000"/>
    <n v="0"/>
    <m/>
    <n v="32000"/>
    <n v="0.5"/>
    <n v="32"/>
    <x v="2"/>
    <x v="5"/>
  </r>
  <r>
    <x v="7"/>
    <m/>
    <n v="34000"/>
    <n v="0"/>
    <m/>
    <n v="34000"/>
    <n v="0.6"/>
    <n v="34"/>
    <x v="2"/>
    <x v="8"/>
  </r>
  <r>
    <x v="8"/>
    <s v="Rehab Negros  "/>
    <n v="100000"/>
    <n v="100000"/>
    <m/>
    <m/>
    <n v="0.5"/>
    <n v="100"/>
    <x v="2"/>
    <x v="9"/>
  </r>
  <r>
    <x v="9"/>
    <m/>
    <n v="3000"/>
    <n v="0"/>
    <m/>
    <n v="3000"/>
    <n v="0.7"/>
    <n v="3"/>
    <x v="1"/>
    <x v="10"/>
  </r>
  <r>
    <x v="10"/>
    <m/>
    <n v="3000"/>
    <m/>
    <m/>
    <n v="3000"/>
    <n v="1"/>
    <n v="3"/>
    <x v="2"/>
    <x v="6"/>
  </r>
  <r>
    <x v="11"/>
    <m/>
    <n v="7000"/>
    <n v="0"/>
    <m/>
    <n v="7000"/>
    <m/>
    <n v="7"/>
    <x v="2"/>
    <x v="8"/>
  </r>
  <r>
    <x v="12"/>
    <m/>
    <n v="1064"/>
    <m/>
    <m/>
    <n v="1064"/>
    <m/>
    <n v="1.0640000000000001"/>
    <x v="1"/>
    <x v="11"/>
  </r>
  <r>
    <x v="13"/>
    <m/>
    <n v="1000"/>
    <n v="1000"/>
    <m/>
    <m/>
    <n v="1"/>
    <n v="1"/>
    <x v="2"/>
    <x v="12"/>
  </r>
  <r>
    <x v="14"/>
    <s v="Matériel de sport et cirque "/>
    <n v="1000"/>
    <n v="1000"/>
    <m/>
    <m/>
    <m/>
    <n v="1"/>
    <x v="1"/>
    <x v="13"/>
  </r>
  <r>
    <x v="15"/>
    <m/>
    <n v="10000"/>
    <n v="10000"/>
    <m/>
    <m/>
    <n v="0.9"/>
    <n v="10"/>
    <x v="1"/>
    <x v="14"/>
  </r>
  <r>
    <x v="16"/>
    <s v="MSF 2019-2020"/>
    <n v="10000"/>
    <n v="0"/>
    <n v="10000"/>
    <m/>
    <m/>
    <n v="10"/>
    <x v="1"/>
    <x v="15"/>
  </r>
  <r>
    <x v="16"/>
    <s v="MSF 2020-2021"/>
    <n v="28000"/>
    <n v="0"/>
    <n v="25200"/>
    <n v="2800"/>
    <m/>
    <n v="28"/>
    <x v="3"/>
    <x v="16"/>
  </r>
  <r>
    <x v="17"/>
    <s v="Aide urgence typhon"/>
    <n v="10000"/>
    <n v="10000"/>
    <m/>
    <m/>
    <n v="1"/>
    <n v="10"/>
    <x v="1"/>
    <x v="17"/>
  </r>
  <r>
    <x v="18"/>
    <m/>
    <n v="5700"/>
    <n v="5700"/>
    <m/>
    <m/>
    <n v="1"/>
    <n v="5.7"/>
    <x v="1"/>
    <x v="18"/>
  </r>
  <r>
    <x v="18"/>
    <s v="Aide urgence Covid-19"/>
    <n v="1000"/>
    <n v="1000"/>
    <m/>
    <m/>
    <m/>
    <n v="1"/>
    <x v="1"/>
    <x v="19"/>
  </r>
  <r>
    <x v="18"/>
    <s v="Matériel informatique"/>
    <n v="12000"/>
    <n v="12000"/>
    <m/>
    <m/>
    <m/>
    <n v="12"/>
    <x v="2"/>
    <x v="20"/>
  </r>
  <r>
    <x v="19"/>
    <s v="REHAB PASSI"/>
    <n v="20000"/>
    <n v="20000"/>
    <m/>
    <m/>
    <n v="0.5"/>
    <n v="20"/>
    <x v="2"/>
    <x v="9"/>
  </r>
  <r>
    <x v="20"/>
    <m/>
    <n v="10000"/>
    <n v="10000"/>
    <m/>
    <m/>
    <n v="0.5"/>
    <n v="10"/>
    <x v="4"/>
    <x v="18"/>
  </r>
  <r>
    <x v="21"/>
    <s v="COM DEV, Empowerement"/>
    <n v="21750"/>
    <n v="21750"/>
    <m/>
    <m/>
    <m/>
    <n v="21.75"/>
    <x v="4"/>
    <x v="0"/>
  </r>
  <r>
    <x v="22"/>
    <s v="REHAB PASSI Santé"/>
    <n v="13500"/>
    <n v="13500"/>
    <m/>
    <m/>
    <m/>
    <n v="13.5"/>
    <x v="3"/>
    <x v="21"/>
  </r>
  <r>
    <x v="23"/>
    <m/>
    <n v="15000"/>
    <m/>
    <n v="15000"/>
    <m/>
    <m/>
    <n v="15"/>
    <x v="2"/>
    <x v="20"/>
  </r>
  <r>
    <x v="24"/>
    <m/>
    <n v="10000"/>
    <m/>
    <n v="10000"/>
    <m/>
    <m/>
    <n v="10"/>
    <x v="2"/>
    <x v="20"/>
  </r>
  <r>
    <x v="25"/>
    <m/>
    <n v="1000"/>
    <n v="0"/>
    <m/>
    <n v="1000"/>
    <m/>
    <n v="1"/>
    <x v="2"/>
    <x v="5"/>
  </r>
  <r>
    <x v="26"/>
    <m/>
    <n v="10000"/>
    <n v="10000"/>
    <m/>
    <m/>
    <n v="0.5"/>
    <n v="10"/>
    <x v="2"/>
    <x v="0"/>
  </r>
  <r>
    <x v="27"/>
    <s v="MSF"/>
    <n v="25000"/>
    <n v="0"/>
    <n v="25000"/>
    <m/>
    <m/>
    <n v="25"/>
    <x v="3"/>
    <x v="22"/>
  </r>
  <r>
    <x v="28"/>
    <m/>
    <n v="5000"/>
    <n v="5000"/>
    <m/>
    <m/>
    <m/>
    <n v="5"/>
    <x v="2"/>
    <x v="9"/>
  </r>
  <r>
    <x v="29"/>
    <s v="Aide urgence typhon"/>
    <n v="6050"/>
    <n v="6050"/>
    <m/>
    <m/>
    <n v="0.9"/>
    <n v="6.05"/>
    <x v="1"/>
    <x v="18"/>
  </r>
  <r>
    <x v="29"/>
    <s v="MSF, Prog Demain Sezane"/>
    <n v="7800"/>
    <m/>
    <n v="7800"/>
    <m/>
    <m/>
    <n v="7.8"/>
    <x v="1"/>
    <x v="23"/>
  </r>
  <r>
    <x v="30"/>
    <m/>
    <n v="250"/>
    <m/>
    <m/>
    <m/>
    <n v="0.5"/>
    <n v="0.25"/>
    <x v="1"/>
    <x v="24"/>
  </r>
  <r>
    <x v="31"/>
    <m/>
    <m/>
    <n v="0"/>
    <m/>
    <m/>
    <m/>
    <n v="0"/>
    <x v="0"/>
    <x v="12"/>
  </r>
  <r>
    <x v="32"/>
    <s v="REHAB PASSI"/>
    <n v="100000"/>
    <n v="100000"/>
    <m/>
    <m/>
    <m/>
    <n v="100"/>
    <x v="0"/>
    <x v="12"/>
  </r>
  <r>
    <x v="33"/>
    <m/>
    <n v="5000"/>
    <n v="5000"/>
    <m/>
    <m/>
    <m/>
    <n v="5"/>
    <x v="0"/>
    <x v="12"/>
  </r>
  <r>
    <x v="34"/>
    <m/>
    <n v="8550"/>
    <m/>
    <m/>
    <n v="8550"/>
    <m/>
    <n v="8.5500000000000007"/>
    <x v="2"/>
    <x v="12"/>
  </r>
  <r>
    <x v="35"/>
    <m/>
    <n v="1800"/>
    <n v="0"/>
    <m/>
    <n v="1800"/>
    <m/>
    <n v="1.8"/>
    <x v="2"/>
    <x v="20"/>
  </r>
  <r>
    <x v="36"/>
    <m/>
    <n v="70000"/>
    <m/>
    <m/>
    <n v="70000"/>
    <m/>
    <n v="70"/>
    <x v="2"/>
    <x v="25"/>
  </r>
  <r>
    <x v="37"/>
    <m/>
    <n v="10000"/>
    <n v="0"/>
    <m/>
    <n v="10000"/>
    <n v="1"/>
    <n v="10"/>
    <x v="0"/>
    <x v="12"/>
  </r>
  <r>
    <x v="38"/>
    <m/>
    <n v="3000"/>
    <n v="0"/>
    <m/>
    <n v="3000"/>
    <m/>
    <n v="3"/>
    <x v="0"/>
    <x v="0"/>
  </r>
  <r>
    <x v="39"/>
    <m/>
    <n v="20000"/>
    <n v="20000"/>
    <m/>
    <m/>
    <m/>
    <n v="20"/>
    <x v="0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DD7E42-033F-40EB-807D-CF5EBC6E7CE8}" name="Tableau croisé dynamique2" cacheId="4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1">
  <location ref="A3:C17" firstHeaderRow="0" firstDataRow="1" firstDataCol="1" rowPageCount="1" colPageCount="1"/>
  <pivotFields count="11">
    <pivotField axis="axisRow" showAll="0" sortType="descending">
      <items count="72">
        <item x="0"/>
        <item m="1" x="56"/>
        <item x="32"/>
        <item x="31"/>
        <item m="1" x="49"/>
        <item m="1" x="65"/>
        <item m="1" x="66"/>
        <item x="5"/>
        <item x="4"/>
        <item x="2"/>
        <item m="1" x="47"/>
        <item x="7"/>
        <item m="1" x="48"/>
        <item n="Course des héros " m="1" x="45"/>
        <item x="9"/>
        <item m="1" x="63"/>
        <item x="11"/>
        <item x="15"/>
        <item x="16"/>
        <item m="1" x="43"/>
        <item x="18"/>
        <item x="19"/>
        <item x="20"/>
        <item x="21"/>
        <item m="1" x="69"/>
        <item x="22"/>
        <item m="1" x="46"/>
        <item m="1" x="44"/>
        <item m="1" x="61"/>
        <item x="13"/>
        <item m="1" x="42"/>
        <item x="14"/>
        <item x="25"/>
        <item m="1" x="54"/>
        <item m="1" x="53"/>
        <item m="1" x="59"/>
        <item m="1" x="51"/>
        <item m="1" x="50"/>
        <item m="1" x="57"/>
        <item m="1" x="41"/>
        <item m="1" x="58"/>
        <item m="1" x="55"/>
        <item m="1" x="52"/>
        <item m="1" x="70"/>
        <item m="1" x="68"/>
        <item m="1" x="40"/>
        <item m="1" x="67"/>
        <item x="12"/>
        <item x="8"/>
        <item n="Course des héros 2" x="38"/>
        <item x="39"/>
        <item x="33"/>
        <item x="10"/>
        <item m="1" x="62"/>
        <item m="1" x="60"/>
        <item x="26"/>
        <item x="30"/>
        <item x="23"/>
        <item x="24"/>
        <item x="27"/>
        <item x="3"/>
        <item x="37"/>
        <item x="1"/>
        <item x="28"/>
        <item x="17"/>
        <item m="1" x="64"/>
        <item x="35"/>
        <item x="36"/>
        <item x="6"/>
        <item x="29"/>
        <item x="3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5" showAll="0"/>
    <pivotField showAll="0"/>
    <pivotField showAll="0"/>
    <pivotField showAll="0"/>
    <pivotField dataField="1" showAll="0"/>
    <pivotField axis="axisPage" multipleItemSelectionAllowed="1" showAll="0">
      <items count="9">
        <item x="1"/>
        <item m="1" x="7"/>
        <item h="1" x="0"/>
        <item m="1" x="6"/>
        <item m="1" x="5"/>
        <item h="1" x="2"/>
        <item h="1" x="3"/>
        <item h="1" x="4"/>
        <item t="default"/>
      </items>
    </pivotField>
    <pivotField showAll="0"/>
    <pivotField showAll="0" defaultSubtotal="0"/>
  </pivotFields>
  <rowFields count="1">
    <field x="0"/>
  </rowFields>
  <rowItems count="14">
    <i>
      <x v="9"/>
    </i>
    <i>
      <x v="69"/>
    </i>
    <i>
      <x v="64"/>
    </i>
    <i>
      <x v="17"/>
    </i>
    <i>
      <x v="18"/>
    </i>
    <i>
      <x v="20"/>
    </i>
    <i>
      <x v="60"/>
    </i>
    <i>
      <x v="14"/>
    </i>
    <i>
      <x v="68"/>
    </i>
    <i>
      <x v="47"/>
    </i>
    <i>
      <x v="62"/>
    </i>
    <i>
      <x v="31"/>
    </i>
    <i>
      <x v="56"/>
    </i>
    <i t="grand">
      <x/>
    </i>
  </rowItems>
  <colFields count="1">
    <field x="-2"/>
  </colFields>
  <colItems count="2">
    <i>
      <x/>
    </i>
    <i i="1">
      <x v="1"/>
    </i>
  </colItems>
  <pageFields count="1">
    <pageField fld="8" hier="-1"/>
  </pageFields>
  <dataFields count="2">
    <dataField name="Somme de K€" fld="7" baseField="0" baseItem="0"/>
    <dataField name="Somme de K€2" fld="7" showDataAs="percentOfTotal" baseField="0" baseItem="7" numFmtId="10"/>
  </dataFields>
  <chartFormats count="10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24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1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6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21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25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30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22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17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0"/>
          </reference>
          <reference field="0" count="1" selected="0">
            <x v="13"/>
          </reference>
        </references>
      </pivotArea>
    </chartFormat>
    <chartFormat chart="0" format="15">
      <pivotArea type="data" outline="0" fieldPosition="0">
        <references count="2">
          <reference field="4294967294" count="1" selected="0">
            <x v="0"/>
          </reference>
          <reference field="0" count="1" selected="0">
            <x v="18"/>
          </reference>
        </references>
      </pivotArea>
    </chartFormat>
    <chartFormat chart="0" format="16">
      <pivotArea type="data" outline="0" fieldPosition="0">
        <references count="2">
          <reference field="4294967294" count="1" selected="0">
            <x v="0"/>
          </reference>
          <reference field="0" count="1" selected="0">
            <x v="19"/>
          </reference>
        </references>
      </pivotArea>
    </chartFormat>
    <chartFormat chart="0" format="17">
      <pivotArea type="data" outline="0" fieldPosition="0">
        <references count="2">
          <reference field="4294967294" count="1" selected="0">
            <x v="0"/>
          </reference>
          <reference field="0" count="1" selected="0">
            <x v="16"/>
          </reference>
        </references>
      </pivotArea>
    </chartFormat>
    <chartFormat chart="0" format="18">
      <pivotArea type="data" outline="0" fieldPosition="0">
        <references count="2">
          <reference field="4294967294" count="1" selected="0">
            <x v="0"/>
          </reference>
          <reference field="0" count="1" selected="0">
            <x v="44"/>
          </reference>
        </references>
      </pivotArea>
    </chartFormat>
    <chartFormat chart="0" format="19">
      <pivotArea type="data" outline="0" fieldPosition="0">
        <references count="2">
          <reference field="4294967294" count="1" selected="0">
            <x v="0"/>
          </reference>
          <reference field="0" count="1" selected="0">
            <x v="20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0"/>
          </reference>
          <reference field="0" count="1" selected="0">
            <x v="42"/>
          </reference>
        </references>
      </pivotArea>
    </chartFormat>
    <chartFormat chart="0" format="21">
      <pivotArea type="data" outline="0" fieldPosition="0">
        <references count="2">
          <reference field="4294967294" count="1" selected="0">
            <x v="0"/>
          </reference>
          <reference field="0" count="1" selected="0">
            <x v="14"/>
          </reference>
        </references>
      </pivotArea>
    </chartFormat>
    <chartFormat chart="0" format="22">
      <pivotArea type="data" outline="0" fieldPosition="0">
        <references count="2">
          <reference field="4294967294" count="1" selected="0">
            <x v="0"/>
          </reference>
          <reference field="0" count="1" selected="0">
            <x v="15"/>
          </reference>
        </references>
      </pivotArea>
    </chartFormat>
    <chartFormat chart="0" format="23">
      <pivotArea type="data" outline="0" fieldPosition="0">
        <references count="2">
          <reference field="4294967294" count="1" selected="0">
            <x v="0"/>
          </reference>
          <reference field="0" count="1" selected="0">
            <x v="32"/>
          </reference>
        </references>
      </pivotArea>
    </chartFormat>
    <chartFormat chart="0" format="24">
      <pivotArea type="data" outline="0" fieldPosition="0">
        <references count="2">
          <reference field="4294967294" count="1" selected="0">
            <x v="0"/>
          </reference>
          <reference field="0" count="1" selected="0">
            <x v="31"/>
          </reference>
        </references>
      </pivotArea>
    </chartFormat>
    <chartFormat chart="0" format="25">
      <pivotArea type="data" outline="0" fieldPosition="0">
        <references count="2">
          <reference field="4294967294" count="1" selected="0">
            <x v="0"/>
          </reference>
          <reference field="0" count="1" selected="0">
            <x v="36"/>
          </reference>
        </references>
      </pivotArea>
    </chartFormat>
    <chartFormat chart="0" format="26">
      <pivotArea type="data" outline="0" fieldPosition="0">
        <references count="2">
          <reference field="4294967294" count="1" selected="0">
            <x v="0"/>
          </reference>
          <reference field="0" count="1" selected="0">
            <x v="40"/>
          </reference>
        </references>
      </pivotArea>
    </chartFormat>
    <chartFormat chart="0" format="27">
      <pivotArea type="data" outline="0" fieldPosition="0">
        <references count="2">
          <reference field="4294967294" count="1" selected="0">
            <x v="0"/>
          </reference>
          <reference field="0" count="1" selected="0">
            <x v="38"/>
          </reference>
        </references>
      </pivotArea>
    </chartFormat>
    <chartFormat chart="0" format="28">
      <pivotArea type="data" outline="0" fieldPosition="0">
        <references count="2">
          <reference field="4294967294" count="1" selected="0">
            <x v="0"/>
          </reference>
          <reference field="0" count="1" selected="0">
            <x v="29"/>
          </reference>
        </references>
      </pivotArea>
    </chartFormat>
    <chartFormat chart="0" format="29">
      <pivotArea type="data" outline="0" fieldPosition="0">
        <references count="2">
          <reference field="4294967294" count="1" selected="0">
            <x v="0"/>
          </reference>
          <reference field="0" count="1" selected="0">
            <x v="35"/>
          </reference>
        </references>
      </pivotArea>
    </chartFormat>
    <chartFormat chart="0" format="30">
      <pivotArea type="data" outline="0" fieldPosition="0">
        <references count="2">
          <reference field="4294967294" count="1" selected="0">
            <x v="0"/>
          </reference>
          <reference field="0" count="1" selected="0">
            <x v="23"/>
          </reference>
        </references>
      </pivotArea>
    </chartFormat>
    <chartFormat chart="0" format="31">
      <pivotArea type="data" outline="0" fieldPosition="0">
        <references count="2">
          <reference field="4294967294" count="1" selected="0">
            <x v="0"/>
          </reference>
          <reference field="0" count="1" selected="0">
            <x v="37"/>
          </reference>
        </references>
      </pivotArea>
    </chartFormat>
    <chartFormat chart="0" format="3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3">
      <pivotArea type="data" outline="0" fieldPosition="0">
        <references count="2">
          <reference field="4294967294" count="1" selected="0">
            <x v="0"/>
          </reference>
          <reference field="0" count="1" selected="0">
            <x v="39"/>
          </reference>
        </references>
      </pivotArea>
    </chartFormat>
    <chartFormat chart="0" format="34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35">
      <pivotArea type="data" outline="0" fieldPosition="0">
        <references count="2">
          <reference field="4294967294" count="1" selected="0">
            <x v="0"/>
          </reference>
          <reference field="0" count="1" selected="0">
            <x v="41"/>
          </reference>
        </references>
      </pivotArea>
    </chartFormat>
    <chartFormat chart="0" format="36">
      <pivotArea type="data" outline="0" fieldPosition="0">
        <references count="2">
          <reference field="4294967294" count="1" selected="0">
            <x v="0"/>
          </reference>
          <reference field="0" count="1" selected="0">
            <x v="33"/>
          </reference>
        </references>
      </pivotArea>
    </chartFormat>
    <chartFormat chart="0" format="37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38">
      <pivotArea type="data" outline="0" fieldPosition="0">
        <references count="2">
          <reference field="4294967294" count="1" selected="0">
            <x v="0"/>
          </reference>
          <reference field="0" count="1" selected="0">
            <x v="45"/>
          </reference>
        </references>
      </pivotArea>
    </chartFormat>
    <chartFormat chart="0" format="39">
      <pivotArea type="data" outline="0" fieldPosition="0">
        <references count="2">
          <reference field="4294967294" count="1" selected="0">
            <x v="0"/>
          </reference>
          <reference field="0" count="1" selected="0">
            <x v="27"/>
          </reference>
        </references>
      </pivotArea>
    </chartFormat>
    <chartFormat chart="0" format="40">
      <pivotArea type="data" outline="0" fieldPosition="0">
        <references count="2">
          <reference field="4294967294" count="1" selected="0">
            <x v="0"/>
          </reference>
          <reference field="0" count="1" selected="0">
            <x v="28"/>
          </reference>
        </references>
      </pivotArea>
    </chartFormat>
    <chartFormat chart="0" format="41">
      <pivotArea type="data" outline="0" fieldPosition="0">
        <references count="2">
          <reference field="4294967294" count="1" selected="0">
            <x v="1"/>
          </reference>
          <reference field="0" count="1" selected="0">
            <x v="24"/>
          </reference>
        </references>
      </pivotArea>
    </chartFormat>
    <chartFormat chart="0" format="42">
      <pivotArea type="data" outline="0" fieldPosition="0">
        <references count="2">
          <reference field="4294967294" count="1" selected="0">
            <x v="1"/>
          </reference>
          <reference field="0" count="1" selected="0">
            <x v="11"/>
          </reference>
        </references>
      </pivotArea>
    </chartFormat>
    <chartFormat chart="0" format="43">
      <pivotArea type="data" outline="0" fieldPosition="0">
        <references count="2">
          <reference field="4294967294" count="1" selected="0">
            <x v="1"/>
          </reference>
          <reference field="0" count="1" selected="0">
            <x v="1"/>
          </reference>
        </references>
      </pivotArea>
    </chartFormat>
    <chartFormat chart="0" format="44">
      <pivotArea type="data" outline="0" fieldPosition="0">
        <references count="2">
          <reference field="4294967294" count="1" selected="0">
            <x v="1"/>
          </reference>
          <reference field="0" count="1" selected="0">
            <x v="6"/>
          </reference>
        </references>
      </pivotArea>
    </chartFormat>
    <chartFormat chart="0" format="45">
      <pivotArea type="data" outline="0" fieldPosition="0">
        <references count="2">
          <reference field="4294967294" count="1" selected="0">
            <x v="1"/>
          </reference>
          <reference field="0" count="1" selected="0">
            <x v="26"/>
          </reference>
        </references>
      </pivotArea>
    </chartFormat>
    <chartFormat chart="0" format="46">
      <pivotArea type="data" outline="0" fieldPosition="0">
        <references count="2">
          <reference field="4294967294" count="1" selected="0">
            <x v="1"/>
          </reference>
          <reference field="0" count="1" selected="0">
            <x v="21"/>
          </reference>
        </references>
      </pivotArea>
    </chartFormat>
    <chartFormat chart="0" format="47">
      <pivotArea type="data" outline="0" fieldPosition="0">
        <references count="2">
          <reference field="4294967294" count="1" selected="0">
            <x v="1"/>
          </reference>
          <reference field="0" count="1" selected="0">
            <x v="9"/>
          </reference>
        </references>
      </pivotArea>
    </chartFormat>
    <chartFormat chart="0" format="48">
      <pivotArea type="data" outline="0" fieldPosition="0">
        <references count="2">
          <reference field="4294967294" count="1" selected="0">
            <x v="1"/>
          </reference>
          <reference field="0" count="1" selected="0">
            <x v="25"/>
          </reference>
        </references>
      </pivotArea>
    </chartFormat>
    <chartFormat chart="0" format="49">
      <pivotArea type="data" outline="0" fieldPosition="0">
        <references count="2">
          <reference field="4294967294" count="1" selected="0">
            <x v="1"/>
          </reference>
          <reference field="0" count="1" selected="0">
            <x v="30"/>
          </reference>
        </references>
      </pivotArea>
    </chartFormat>
    <chartFormat chart="0" format="50">
      <pivotArea type="data" outline="0" fieldPosition="0">
        <references count="2">
          <reference field="4294967294" count="1" selected="0">
            <x v="1"/>
          </reference>
          <reference field="0" count="1" selected="0">
            <x v="22"/>
          </reference>
        </references>
      </pivotArea>
    </chartFormat>
    <chartFormat chart="0" format="51">
      <pivotArea type="data" outline="0" fieldPosition="0">
        <references count="2">
          <reference field="4294967294" count="1" selected="0">
            <x v="1"/>
          </reference>
          <reference field="0" count="1" selected="0">
            <x v="8"/>
          </reference>
        </references>
      </pivotArea>
    </chartFormat>
    <chartFormat chart="0" format="52">
      <pivotArea type="data" outline="0" fieldPosition="0">
        <references count="2">
          <reference field="4294967294" count="1" selected="0">
            <x v="1"/>
          </reference>
          <reference field="0" count="1" selected="0">
            <x v="17"/>
          </reference>
        </references>
      </pivotArea>
    </chartFormat>
    <chartFormat chart="0" format="53">
      <pivotArea type="data" outline="0" fieldPosition="0">
        <references count="2">
          <reference field="4294967294" count="1" selected="0">
            <x v="1"/>
          </reference>
          <reference field="0" count="1" selected="0">
            <x v="13"/>
          </reference>
        </references>
      </pivotArea>
    </chartFormat>
    <chartFormat chart="0" format="54">
      <pivotArea type="data" outline="0" fieldPosition="0">
        <references count="2">
          <reference field="4294967294" count="1" selected="0">
            <x v="1"/>
          </reference>
          <reference field="0" count="1" selected="0">
            <x v="18"/>
          </reference>
        </references>
      </pivotArea>
    </chartFormat>
    <chartFormat chart="0" format="55">
      <pivotArea type="data" outline="0" fieldPosition="0">
        <references count="2">
          <reference field="4294967294" count="1" selected="0">
            <x v="1"/>
          </reference>
          <reference field="0" count="1" selected="0">
            <x v="19"/>
          </reference>
        </references>
      </pivotArea>
    </chartFormat>
    <chartFormat chart="0" format="56">
      <pivotArea type="data" outline="0" fieldPosition="0">
        <references count="2">
          <reference field="4294967294" count="1" selected="0">
            <x v="1"/>
          </reference>
          <reference field="0" count="1" selected="0">
            <x v="16"/>
          </reference>
        </references>
      </pivotArea>
    </chartFormat>
    <chartFormat chart="0" format="57">
      <pivotArea type="data" outline="0" fieldPosition="0">
        <references count="2">
          <reference field="4294967294" count="1" selected="0">
            <x v="1"/>
          </reference>
          <reference field="0" count="1" selected="0">
            <x v="44"/>
          </reference>
        </references>
      </pivotArea>
    </chartFormat>
    <chartFormat chart="0" format="58">
      <pivotArea type="data" outline="0" fieldPosition="0">
        <references count="2">
          <reference field="4294967294" count="1" selected="0">
            <x v="1"/>
          </reference>
          <reference field="0" count="1" selected="0">
            <x v="20"/>
          </reference>
        </references>
      </pivotArea>
    </chartFormat>
    <chartFormat chart="0" format="59">
      <pivotArea type="data" outline="0" fieldPosition="0">
        <references count="2">
          <reference field="4294967294" count="1" selected="0">
            <x v="1"/>
          </reference>
          <reference field="0" count="1" selected="0">
            <x v="42"/>
          </reference>
        </references>
      </pivotArea>
    </chartFormat>
    <chartFormat chart="0" format="60">
      <pivotArea type="data" outline="0" fieldPosition="0">
        <references count="2">
          <reference field="4294967294" count="1" selected="0">
            <x v="1"/>
          </reference>
          <reference field="0" count="1" selected="0">
            <x v="14"/>
          </reference>
        </references>
      </pivotArea>
    </chartFormat>
    <chartFormat chart="0" format="61">
      <pivotArea type="data" outline="0" fieldPosition="0">
        <references count="2">
          <reference field="4294967294" count="1" selected="0">
            <x v="1"/>
          </reference>
          <reference field="0" count="1" selected="0">
            <x v="15"/>
          </reference>
        </references>
      </pivotArea>
    </chartFormat>
    <chartFormat chart="0" format="62">
      <pivotArea type="data" outline="0" fieldPosition="0">
        <references count="2">
          <reference field="4294967294" count="1" selected="0">
            <x v="1"/>
          </reference>
          <reference field="0" count="1" selected="0">
            <x v="32"/>
          </reference>
        </references>
      </pivotArea>
    </chartFormat>
    <chartFormat chart="0" format="63">
      <pivotArea type="data" outline="0" fieldPosition="0">
        <references count="2">
          <reference field="4294967294" count="1" selected="0">
            <x v="1"/>
          </reference>
          <reference field="0" count="1" selected="0">
            <x v="31"/>
          </reference>
        </references>
      </pivotArea>
    </chartFormat>
    <chartFormat chart="0" format="64">
      <pivotArea type="data" outline="0" fieldPosition="0">
        <references count="2">
          <reference field="4294967294" count="1" selected="0">
            <x v="1"/>
          </reference>
          <reference field="0" count="1" selected="0">
            <x v="36"/>
          </reference>
        </references>
      </pivotArea>
    </chartFormat>
    <chartFormat chart="0" format="65">
      <pivotArea type="data" outline="0" fieldPosition="0">
        <references count="2">
          <reference field="4294967294" count="1" selected="0">
            <x v="1"/>
          </reference>
          <reference field="0" count="1" selected="0">
            <x v="40"/>
          </reference>
        </references>
      </pivotArea>
    </chartFormat>
    <chartFormat chart="0" format="66">
      <pivotArea type="data" outline="0" fieldPosition="0">
        <references count="2">
          <reference field="4294967294" count="1" selected="0">
            <x v="1"/>
          </reference>
          <reference field="0" count="1" selected="0">
            <x v="38"/>
          </reference>
        </references>
      </pivotArea>
    </chartFormat>
    <chartFormat chart="0" format="67">
      <pivotArea type="data" outline="0" fieldPosition="0">
        <references count="2">
          <reference field="4294967294" count="1" selected="0">
            <x v="1"/>
          </reference>
          <reference field="0" count="1" selected="0">
            <x v="29"/>
          </reference>
        </references>
      </pivotArea>
    </chartFormat>
    <chartFormat chart="0" format="68">
      <pivotArea type="data" outline="0" fieldPosition="0">
        <references count="2">
          <reference field="4294967294" count="1" selected="0">
            <x v="1"/>
          </reference>
          <reference field="0" count="1" selected="0">
            <x v="35"/>
          </reference>
        </references>
      </pivotArea>
    </chartFormat>
    <chartFormat chart="0" format="69">
      <pivotArea type="data" outline="0" fieldPosition="0">
        <references count="2">
          <reference field="4294967294" count="1" selected="0">
            <x v="1"/>
          </reference>
          <reference field="0" count="1" selected="0">
            <x v="23"/>
          </reference>
        </references>
      </pivotArea>
    </chartFormat>
    <chartFormat chart="0" format="70">
      <pivotArea type="data" outline="0" fieldPosition="0">
        <references count="2">
          <reference field="4294967294" count="1" selected="0">
            <x v="1"/>
          </reference>
          <reference field="0" count="1" selected="0">
            <x v="37"/>
          </reference>
        </references>
      </pivotArea>
    </chartFormat>
    <chartFormat chart="0" format="71">
      <pivotArea type="data" outline="0" fieldPosition="0">
        <references count="2">
          <reference field="4294967294" count="1" selected="0">
            <x v="1"/>
          </reference>
          <reference field="0" count="1" selected="0">
            <x v="3"/>
          </reference>
        </references>
      </pivotArea>
    </chartFormat>
    <chartFormat chart="0" format="72">
      <pivotArea type="data" outline="0" fieldPosition="0">
        <references count="2">
          <reference field="4294967294" count="1" selected="0">
            <x v="1"/>
          </reference>
          <reference field="0" count="1" selected="0">
            <x v="39"/>
          </reference>
        </references>
      </pivotArea>
    </chartFormat>
    <chartFormat chart="0" format="73">
      <pivotArea type="data" outline="0" fieldPosition="0">
        <references count="2">
          <reference field="4294967294" count="1" selected="0">
            <x v="1"/>
          </reference>
          <reference field="0" count="1" selected="0">
            <x v="5"/>
          </reference>
        </references>
      </pivotArea>
    </chartFormat>
    <chartFormat chart="0" format="74">
      <pivotArea type="data" outline="0" fieldPosition="0">
        <references count="2">
          <reference field="4294967294" count="1" selected="0">
            <x v="1"/>
          </reference>
          <reference field="0" count="1" selected="0">
            <x v="41"/>
          </reference>
        </references>
      </pivotArea>
    </chartFormat>
    <chartFormat chart="0" format="75">
      <pivotArea type="data" outline="0" fieldPosition="0">
        <references count="2">
          <reference field="4294967294" count="1" selected="0">
            <x v="1"/>
          </reference>
          <reference field="0" count="1" selected="0">
            <x v="33"/>
          </reference>
        </references>
      </pivotArea>
    </chartFormat>
    <chartFormat chart="0" format="76">
      <pivotArea type="data" outline="0" fieldPosition="0">
        <references count="2">
          <reference field="4294967294" count="1" selected="0">
            <x v="1"/>
          </reference>
          <reference field="0" count="1" selected="0">
            <x v="4"/>
          </reference>
        </references>
      </pivotArea>
    </chartFormat>
    <chartFormat chart="0" format="77">
      <pivotArea type="data" outline="0" fieldPosition="0">
        <references count="2">
          <reference field="4294967294" count="1" selected="0">
            <x v="1"/>
          </reference>
          <reference field="0" count="1" selected="0">
            <x v="45"/>
          </reference>
        </references>
      </pivotArea>
    </chartFormat>
    <chartFormat chart="0" format="78">
      <pivotArea type="data" outline="0" fieldPosition="0">
        <references count="2">
          <reference field="4294967294" count="1" selected="0">
            <x v="1"/>
          </reference>
          <reference field="0" count="1" selected="0">
            <x v="27"/>
          </reference>
        </references>
      </pivotArea>
    </chartFormat>
    <chartFormat chart="0" format="79">
      <pivotArea type="data" outline="0" fieldPosition="0">
        <references count="2">
          <reference field="4294967294" count="1" selected="0">
            <x v="1"/>
          </reference>
          <reference field="0" count="1" selected="0">
            <x v="28"/>
          </reference>
        </references>
      </pivotArea>
    </chartFormat>
    <chartFormat chart="0" format="80">
      <pivotArea type="data" outline="0" fieldPosition="0">
        <references count="2">
          <reference field="4294967294" count="1" selected="0">
            <x v="0"/>
          </reference>
          <reference field="0" count="1" selected="0">
            <x v="46"/>
          </reference>
        </references>
      </pivotArea>
    </chartFormat>
    <chartFormat chart="0" format="81">
      <pivotArea type="data" outline="0" fieldPosition="0">
        <references count="2">
          <reference field="4294967294" count="1" selected="0">
            <x v="0"/>
          </reference>
          <reference field="0" count="1" selected="0">
            <x v="47"/>
          </reference>
        </references>
      </pivotArea>
    </chartFormat>
    <chartFormat chart="0" format="82">
      <pivotArea type="data" outline="0" fieldPosition="0">
        <references count="2">
          <reference field="4294967294" count="1" selected="0">
            <x v="1"/>
          </reference>
          <reference field="0" count="1" selected="0">
            <x v="46"/>
          </reference>
        </references>
      </pivotArea>
    </chartFormat>
    <chartFormat chart="0" format="83">
      <pivotArea type="data" outline="0" fieldPosition="0">
        <references count="2">
          <reference field="4294967294" count="1" selected="0">
            <x v="1"/>
          </reference>
          <reference field="0" count="1" selected="0">
            <x v="47"/>
          </reference>
        </references>
      </pivotArea>
    </chartFormat>
    <chartFormat chart="0" format="84">
      <pivotArea type="data" outline="0" fieldPosition="0">
        <references count="2">
          <reference field="4294967294" count="1" selected="0">
            <x v="0"/>
          </reference>
          <reference field="0" count="1" selected="0">
            <x v="54"/>
          </reference>
        </references>
      </pivotArea>
    </chartFormat>
    <chartFormat chart="0" format="85">
      <pivotArea type="data" outline="0" fieldPosition="0">
        <references count="2">
          <reference field="4294967294" count="1" selected="0">
            <x v="0"/>
          </reference>
          <reference field="0" count="1" selected="0">
            <x v="53"/>
          </reference>
        </references>
      </pivotArea>
    </chartFormat>
    <chartFormat chart="0" format="86">
      <pivotArea type="data" outline="0" fieldPosition="0">
        <references count="2">
          <reference field="4294967294" count="1" selected="0">
            <x v="0"/>
          </reference>
          <reference field="0" count="1" selected="0">
            <x v="60"/>
          </reference>
        </references>
      </pivotArea>
    </chartFormat>
    <chartFormat chart="0" format="87">
      <pivotArea type="data" outline="0" fieldPosition="0">
        <references count="2">
          <reference field="4294967294" count="1" selected="0">
            <x v="0"/>
          </reference>
          <reference field="0" count="1" selected="0">
            <x v="49"/>
          </reference>
        </references>
      </pivotArea>
    </chartFormat>
    <chartFormat chart="0" format="88">
      <pivotArea type="data" outline="0" fieldPosition="0">
        <references count="2">
          <reference field="4294967294" count="1" selected="0">
            <x v="0"/>
          </reference>
          <reference field="0" count="1" selected="0">
            <x v="56"/>
          </reference>
        </references>
      </pivotArea>
    </chartFormat>
    <chartFormat chart="0" format="89">
      <pivotArea type="data" outline="0" fieldPosition="0">
        <references count="2">
          <reference field="4294967294" count="1" selected="0">
            <x v="1"/>
          </reference>
          <reference field="0" count="1" selected="0">
            <x v="54"/>
          </reference>
        </references>
      </pivotArea>
    </chartFormat>
    <chartFormat chart="0" format="90">
      <pivotArea type="data" outline="0" fieldPosition="0">
        <references count="2">
          <reference field="4294967294" count="1" selected="0">
            <x v="1"/>
          </reference>
          <reference field="0" count="1" selected="0">
            <x v="53"/>
          </reference>
        </references>
      </pivotArea>
    </chartFormat>
    <chartFormat chart="0" format="91">
      <pivotArea type="data" outline="0" fieldPosition="0">
        <references count="2">
          <reference field="4294967294" count="1" selected="0">
            <x v="1"/>
          </reference>
          <reference field="0" count="1" selected="0">
            <x v="60"/>
          </reference>
        </references>
      </pivotArea>
    </chartFormat>
    <chartFormat chart="0" format="92">
      <pivotArea type="data" outline="0" fieldPosition="0">
        <references count="2">
          <reference field="4294967294" count="1" selected="0">
            <x v="1"/>
          </reference>
          <reference field="0" count="1" selected="0">
            <x v="49"/>
          </reference>
        </references>
      </pivotArea>
    </chartFormat>
    <chartFormat chart="0" format="93">
      <pivotArea type="data" outline="0" fieldPosition="0">
        <references count="2">
          <reference field="4294967294" count="1" selected="0">
            <x v="1"/>
          </reference>
          <reference field="0" count="1" selected="0">
            <x v="56"/>
          </reference>
        </references>
      </pivotArea>
    </chartFormat>
    <chartFormat chart="0" format="94">
      <pivotArea type="data" outline="0" fieldPosition="0">
        <references count="2">
          <reference field="4294967294" count="1" selected="0">
            <x v="0"/>
          </reference>
          <reference field="0" count="1" selected="0">
            <x v="69"/>
          </reference>
        </references>
      </pivotArea>
    </chartFormat>
    <chartFormat chart="0" format="95">
      <pivotArea type="data" outline="0" fieldPosition="0">
        <references count="2">
          <reference field="4294967294" count="1" selected="0">
            <x v="0"/>
          </reference>
          <reference field="0" count="1" selected="0">
            <x v="64"/>
          </reference>
        </references>
      </pivotArea>
    </chartFormat>
    <chartFormat chart="0" format="96">
      <pivotArea type="data" outline="0" fieldPosition="0">
        <references count="2">
          <reference field="4294967294" count="1" selected="0">
            <x v="0"/>
          </reference>
          <reference field="0" count="1" selected="0">
            <x v="68"/>
          </reference>
        </references>
      </pivotArea>
    </chartFormat>
    <chartFormat chart="0" format="97">
      <pivotArea type="data" outline="0" fieldPosition="0">
        <references count="2">
          <reference field="4294967294" count="1" selected="0">
            <x v="0"/>
          </reference>
          <reference field="0" count="1" selected="0">
            <x v="62"/>
          </reference>
        </references>
      </pivotArea>
    </chartFormat>
    <chartFormat chart="0" format="98">
      <pivotArea type="data" outline="0" fieldPosition="0">
        <references count="2">
          <reference field="4294967294" count="1" selected="0">
            <x v="1"/>
          </reference>
          <reference field="0" count="1" selected="0">
            <x v="69"/>
          </reference>
        </references>
      </pivotArea>
    </chartFormat>
    <chartFormat chart="0" format="99">
      <pivotArea type="data" outline="0" fieldPosition="0">
        <references count="2">
          <reference field="4294967294" count="1" selected="0">
            <x v="1"/>
          </reference>
          <reference field="0" count="1" selected="0">
            <x v="64"/>
          </reference>
        </references>
      </pivotArea>
    </chartFormat>
    <chartFormat chart="0" format="100">
      <pivotArea type="data" outline="0" fieldPosition="0">
        <references count="2">
          <reference field="4294967294" count="1" selected="0">
            <x v="1"/>
          </reference>
          <reference field="0" count="1" selected="0">
            <x v="68"/>
          </reference>
        </references>
      </pivotArea>
    </chartFormat>
    <chartFormat chart="0" format="101">
      <pivotArea type="data" outline="0" fieldPosition="0">
        <references count="2">
          <reference field="4294967294" count="1" selected="0">
            <x v="1"/>
          </reference>
          <reference field="0" count="1" selected="0">
            <x v="6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584CB9-A6A9-465D-BB14-62C0BE9C4490}" name="Tableau croisé dynamique1" cacheId="4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N1:AA9" firstHeaderRow="1" firstDataRow="3" firstDataCol="1"/>
  <pivotFields count="11">
    <pivotField showAll="0"/>
    <pivotField showAll="0"/>
    <pivotField showAll="0"/>
    <pivotField numFmtId="165" showAll="0"/>
    <pivotField showAll="0"/>
    <pivotField showAll="0"/>
    <pivotField showAll="0"/>
    <pivotField dataField="1" numFmtId="165" showAll="0"/>
    <pivotField axis="axisRow" multipleItemSelectionAllowed="1" showAll="0">
      <items count="9">
        <item x="1"/>
        <item n="Sollicité" m="1" x="7"/>
        <item x="0"/>
        <item n="A solliciter" m="1" x="6"/>
        <item m="1" x="5"/>
        <item n="A solliciter2" x="2"/>
        <item n="Sollicité2" x="3"/>
        <item x="4"/>
        <item t="default"/>
      </items>
    </pivotField>
    <pivotField axis="axisCol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8"/>
  </rowFields>
  <rowItems count="6">
    <i>
      <x/>
    </i>
    <i>
      <x v="2"/>
    </i>
    <i>
      <x v="5"/>
    </i>
    <i>
      <x v="6"/>
    </i>
    <i>
      <x v="7"/>
    </i>
    <i t="grand">
      <x/>
    </i>
  </rowItems>
  <colFields count="2">
    <field x="10"/>
    <field x="9"/>
  </colFields>
  <colItems count="13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Somme de K€" fld="7" showDataAs="runTotal" baseField="10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C10349-2392-40F7-BB5D-DFBCD908D9FF}" name="Tableau1" displayName="Tableau1" ref="A4:H21" totalsRowCount="1">
  <autoFilter ref="A4:H20" xr:uid="{C1EB97ED-019D-4DC2-B0F3-FA1044E825FE}"/>
  <tableColumns count="8">
    <tableColumn id="1" xr3:uid="{5078F0E0-7F57-4639-BBB1-382FBE73078C}" name="Nom"/>
    <tableColumn id="7" xr3:uid="{3166EB50-C15C-4101-AF55-468C0A8D2973}" name="Statut"/>
    <tableColumn id="2" xr3:uid="{44B73F39-9C68-4848-AF65-41F77E80CAB0}" name="Date entrée" totalsRowLabel="Age Moyen (mois)"/>
    <tableColumn id="8" xr3:uid="{E6315C00-752D-414B-913F-B75C976CA980}" name="Date sortie"/>
    <tableColumn id="3" xr3:uid="{8A4C692A-2339-4447-A3DD-DA63ED26C046}" name="AGE mois M" totalsRowFunction="average" dataDxfId="18" totalsRowDxfId="17">
      <calculatedColumnFormula>IF(AND(Tableau1[[#This Row],[Date entrée]]&lt;$E$3,Tableau1[[#This Row],[Date sortie]]&gt;$E$3),($E$3-Tableau1[[#This Row],[Date entrée]])/30,"")</calculatedColumnFormula>
    </tableColumn>
    <tableColumn id="4" xr3:uid="{1C8DEF89-6D7C-4EC7-B597-F9C9A6869353}" name="AGE M+1" totalsRowFunction="average" dataDxfId="16" totalsRowDxfId="15">
      <calculatedColumnFormula>IF(AND(Tableau1[[#This Row],[Date entrée]]&lt;$F$3,Tableau1[[#This Row],[Date sortie]]&gt;$F$3),($F$3-Tableau1[[#This Row],[Date entrée]])/30,"")</calculatedColumnFormula>
    </tableColumn>
    <tableColumn id="5" xr3:uid="{1EA3A1F5-4EE5-40C0-B8D4-24D580AF7666}" name="AGE M+2" totalsRowFunction="average" dataDxfId="14" totalsRowDxfId="13">
      <calculatedColumnFormula>IF(AND(Tableau1[[#This Row],[Date entrée]]&lt;$G$3,Tableau1[[#This Row],[Date sortie]]&gt;$G$3),($G$3-Tableau1[[#This Row],[Date entrée]])/30,"")</calculatedColumnFormula>
    </tableColumn>
    <tableColumn id="6" xr3:uid="{7CA5DCDF-7CFF-4032-BC3C-1A67E95BBEFA}" name="AGE M+3" totalsRowFunction="average" dataDxfId="12" totalsRowDxfId="11">
      <calculatedColumnFormula>IF(AND(Tableau1[[#This Row],[Date entrée]]&lt;$H$3,Tableau1[[#This Row],[Date sortie]]&gt;$H$3),($H$3-Tableau1[[#This Row],[Date entrée]])/30,"")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A36BFF9-DACD-4DBA-A7F1-4CF41A93D8C1}" name="Tableau2" displayName="Tableau2" ref="A1:J50" totalsRowShown="0" dataDxfId="10">
  <autoFilter ref="A1:J50" xr:uid="{BF35FBFB-3704-45CF-A653-4C0BB1BC4786}"/>
  <tableColumns count="10">
    <tableColumn id="1" xr3:uid="{616278AE-4B43-479E-AE3E-4240DC6603B5}" name="Nom" dataDxfId="9"/>
    <tableColumn id="7" xr3:uid="{17C0E77C-C358-4624-9180-AE6DE25E5F27}" name="Destination" dataDxfId="8"/>
    <tableColumn id="2" xr3:uid="{7E7A74EE-C09E-420B-82A5-C6E3B3A07AFE}" name="Collecte_x000a_2020" dataDxfId="7" dataCellStyle="Milliers"/>
    <tableColumn id="8" xr3:uid="{D405EE82-1ABF-40C7-B147-1B42AE1B2E53}" name="MS PHIL" dataDxfId="6" dataCellStyle="Milliers">
      <calculatedColumnFormula>Tableau2[[#This Row],[Collecte
2020]]-Tableau2[[#This Row],[FS CAM FR]]-Tableau2[[#This Row],[MSF]]</calculatedColumnFormula>
    </tableColumn>
    <tableColumn id="9" xr3:uid="{ED2E0686-187C-4A1E-AF69-EBE42396D8DF}" name="MSF" dataDxfId="5" dataCellStyle="Milliers"/>
    <tableColumn id="10" xr3:uid="{C303F99D-00A8-409D-8DDB-B3C90F12C625}" name="FS CAM FR" dataDxfId="4" dataCellStyle="Milliers"/>
    <tableColumn id="3" xr3:uid="{A727FBB7-56B9-4436-B56E-3405E61BF13A}" name="% de succès" dataDxfId="3"/>
    <tableColumn id="6" xr3:uid="{39C375CC-78A9-4895-BB99-B510C911A953}" name="K€" dataDxfId="2">
      <calculatedColumnFormula>Tableau2[[#This Row],[Collecte
2020]]/1000</calculatedColumnFormula>
    </tableColumn>
    <tableColumn id="4" xr3:uid="{33E44C78-CFD7-4F09-923A-C4FE4D0F45FA}" name="Statut" dataDxfId="1"/>
    <tableColumn id="5" xr3:uid="{D7A533D7-BAB9-4D0C-86DB-377500275136}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0-03-13T12:48:24.23" personId="{E9D264B8-2057-40A0-9D94-41ACE039BA88}" id="{D4BF7744-1B2F-432F-999E-E3562BC808AE}">
    <text>Seule date à renseigner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6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AJ57"/>
  <sheetViews>
    <sheetView showGridLines="0" tabSelected="1" zoomScale="110" zoomScaleNormal="110" zoomScalePageLayoutView="85" workbookViewId="0">
      <selection activeCell="G8" sqref="G8"/>
    </sheetView>
  </sheetViews>
  <sheetFormatPr baseColWidth="10" defaultColWidth="3.140625" defaultRowHeight="15" x14ac:dyDescent="0.25"/>
  <cols>
    <col min="2" max="2" width="28.28515625" customWidth="1"/>
    <col min="3" max="14" width="5" customWidth="1"/>
    <col min="16" max="16" width="3.140625" customWidth="1"/>
    <col min="17" max="17" width="28.140625" customWidth="1"/>
    <col min="18" max="18" width="5" customWidth="1"/>
    <col min="19" max="29" width="4.5703125" customWidth="1"/>
    <col min="31" max="31" width="3" customWidth="1"/>
    <col min="32" max="32" width="30.140625" customWidth="1"/>
    <col min="33" max="33" width="8" bestFit="1" customWidth="1"/>
    <col min="34" max="34" width="9.5703125" bestFit="1" customWidth="1"/>
    <col min="35" max="35" width="7.140625" bestFit="1" customWidth="1"/>
    <col min="36" max="36" width="25.140625" customWidth="1"/>
  </cols>
  <sheetData>
    <row r="1" spans="1:36" s="1" customFormat="1" ht="18" x14ac:dyDescent="0.25">
      <c r="A1" s="10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 s="9" t="s">
        <v>38</v>
      </c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E1" s="28" t="s">
        <v>24</v>
      </c>
      <c r="AF1" s="29"/>
      <c r="AG1" s="29"/>
      <c r="AH1" s="29"/>
      <c r="AI1" s="29"/>
      <c r="AJ1" s="29"/>
    </row>
    <row r="2" spans="1:36" x14ac:dyDescent="0.25">
      <c r="A2" s="14"/>
      <c r="B2" s="16" t="s">
        <v>1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18">
        <v>12</v>
      </c>
      <c r="P2" s="12"/>
      <c r="Q2" s="16" t="s">
        <v>1</v>
      </c>
      <c r="R2" s="17">
        <v>1</v>
      </c>
      <c r="S2" s="17">
        <v>2</v>
      </c>
      <c r="T2" s="17">
        <v>3</v>
      </c>
      <c r="U2" s="17">
        <v>4</v>
      </c>
      <c r="V2" s="17">
        <v>5</v>
      </c>
      <c r="W2" s="17">
        <v>6</v>
      </c>
      <c r="X2" s="17">
        <v>7</v>
      </c>
      <c r="Y2" s="17">
        <v>8</v>
      </c>
      <c r="Z2" s="17">
        <v>9</v>
      </c>
      <c r="AA2" s="17">
        <v>10</v>
      </c>
      <c r="AB2" s="17">
        <v>11</v>
      </c>
      <c r="AC2" s="18">
        <v>12</v>
      </c>
      <c r="AE2" s="30"/>
      <c r="AF2" s="52" t="s">
        <v>25</v>
      </c>
      <c r="AG2" s="53" t="s">
        <v>31</v>
      </c>
      <c r="AH2" s="53" t="s">
        <v>30</v>
      </c>
      <c r="AI2" s="53" t="s">
        <v>32</v>
      </c>
      <c r="AJ2" s="53" t="s">
        <v>33</v>
      </c>
    </row>
    <row r="3" spans="1:36" s="2" customFormat="1" x14ac:dyDescent="0.25">
      <c r="A3" s="15"/>
      <c r="B3" s="58" t="s">
        <v>3</v>
      </c>
      <c r="C3" s="20">
        <v>18</v>
      </c>
      <c r="D3" s="20">
        <f>C3+18</f>
        <v>36</v>
      </c>
      <c r="E3" s="20">
        <f t="shared" ref="E3:N3" si="0">D3+18</f>
        <v>54</v>
      </c>
      <c r="F3" s="20">
        <f t="shared" si="0"/>
        <v>72</v>
      </c>
      <c r="G3" s="20">
        <f t="shared" si="0"/>
        <v>90</v>
      </c>
      <c r="H3" s="20">
        <f t="shared" si="0"/>
        <v>108</v>
      </c>
      <c r="I3" s="20">
        <f t="shared" si="0"/>
        <v>126</v>
      </c>
      <c r="J3" s="20">
        <f t="shared" si="0"/>
        <v>144</v>
      </c>
      <c r="K3" s="20">
        <f t="shared" si="0"/>
        <v>162</v>
      </c>
      <c r="L3" s="20">
        <f t="shared" si="0"/>
        <v>180</v>
      </c>
      <c r="M3" s="20">
        <f t="shared" si="0"/>
        <v>198</v>
      </c>
      <c r="N3" s="21">
        <f t="shared" si="0"/>
        <v>216</v>
      </c>
      <c r="P3" s="13"/>
      <c r="Q3" s="19" t="s">
        <v>6</v>
      </c>
      <c r="R3" s="20">
        <f>AC3/12</f>
        <v>38.75</v>
      </c>
      <c r="S3" s="20">
        <f>R3+$AC$3/12</f>
        <v>77.5</v>
      </c>
      <c r="T3" s="20">
        <f t="shared" ref="T3:AB3" si="1">S3+$AC$3/12</f>
        <v>116.25</v>
      </c>
      <c r="U3" s="20">
        <f t="shared" si="1"/>
        <v>155</v>
      </c>
      <c r="V3" s="20">
        <f t="shared" si="1"/>
        <v>193.75</v>
      </c>
      <c r="W3" s="20">
        <f t="shared" si="1"/>
        <v>232.5</v>
      </c>
      <c r="X3" s="20">
        <f t="shared" si="1"/>
        <v>271.25</v>
      </c>
      <c r="Y3" s="20">
        <f t="shared" si="1"/>
        <v>310</v>
      </c>
      <c r="Z3" s="20">
        <f t="shared" si="1"/>
        <v>348.75</v>
      </c>
      <c r="AA3" s="20">
        <f t="shared" si="1"/>
        <v>387.5</v>
      </c>
      <c r="AB3" s="20">
        <f t="shared" si="1"/>
        <v>426.25</v>
      </c>
      <c r="AC3" s="21">
        <v>465</v>
      </c>
      <c r="AE3" s="31"/>
      <c r="AF3" s="36" t="s">
        <v>26</v>
      </c>
      <c r="AG3" s="48">
        <v>0.5</v>
      </c>
      <c r="AH3" s="38">
        <v>3</v>
      </c>
      <c r="AI3" s="38">
        <v>3</v>
      </c>
      <c r="AJ3" s="37"/>
    </row>
    <row r="4" spans="1:36" x14ac:dyDescent="0.25">
      <c r="A4" s="14"/>
      <c r="B4" s="59" t="s">
        <v>2</v>
      </c>
      <c r="C4" s="23">
        <v>13.8</v>
      </c>
      <c r="D4" s="23">
        <f>C4+15.4</f>
        <v>29.200000000000003</v>
      </c>
      <c r="E4" s="23">
        <f>D4+13.1</f>
        <v>42.300000000000004</v>
      </c>
      <c r="F4" s="23">
        <f>E4+20.6</f>
        <v>62.900000000000006</v>
      </c>
      <c r="G4" s="23">
        <f>F4+5.2</f>
        <v>68.100000000000009</v>
      </c>
      <c r="H4" s="23"/>
      <c r="I4" s="23"/>
      <c r="J4" s="23"/>
      <c r="K4" s="23"/>
      <c r="L4" s="23"/>
      <c r="M4" s="23"/>
      <c r="N4" s="24"/>
      <c r="P4" s="12"/>
      <c r="Q4" s="22" t="s">
        <v>84</v>
      </c>
      <c r="R4" s="23">
        <v>9.5</v>
      </c>
      <c r="S4" s="23">
        <v>10.5</v>
      </c>
      <c r="T4" s="23">
        <v>39</v>
      </c>
      <c r="U4" s="23">
        <v>57</v>
      </c>
      <c r="V4" s="23">
        <v>81</v>
      </c>
      <c r="W4" s="23"/>
      <c r="X4" s="23"/>
      <c r="Y4" s="23"/>
      <c r="Z4" s="23"/>
      <c r="AA4" s="23"/>
      <c r="AB4" s="23"/>
      <c r="AC4" s="23"/>
      <c r="AE4" s="30"/>
      <c r="AF4" s="36" t="s">
        <v>27</v>
      </c>
      <c r="AG4" s="48">
        <v>0.5</v>
      </c>
      <c r="AH4" s="38">
        <v>3</v>
      </c>
      <c r="AI4" s="38">
        <v>2</v>
      </c>
      <c r="AJ4" s="37"/>
    </row>
    <row r="5" spans="1:36" x14ac:dyDescent="0.25">
      <c r="A5" s="14"/>
      <c r="B5" s="59" t="s">
        <v>180</v>
      </c>
      <c r="C5" s="23">
        <v>0.8</v>
      </c>
      <c r="D5" s="23">
        <f>C5+0.49</f>
        <v>1.29</v>
      </c>
      <c r="E5" s="23">
        <f>D5+0.24</f>
        <v>1.53</v>
      </c>
      <c r="F5" s="23">
        <f>E5+0.3</f>
        <v>1.83</v>
      </c>
      <c r="G5" s="23">
        <f>F5+0.35</f>
        <v>2.1800000000000002</v>
      </c>
      <c r="H5" s="23"/>
      <c r="I5" s="23"/>
      <c r="J5" s="23"/>
      <c r="K5" s="23"/>
      <c r="L5" s="23"/>
      <c r="M5" s="23"/>
      <c r="N5" s="24"/>
      <c r="P5" s="12"/>
      <c r="Q5" s="22" t="s">
        <v>83</v>
      </c>
      <c r="R5" s="43">
        <v>28</v>
      </c>
      <c r="S5" s="43">
        <v>28</v>
      </c>
      <c r="T5" s="43">
        <v>28</v>
      </c>
      <c r="U5" s="43">
        <v>28</v>
      </c>
      <c r="V5" s="43">
        <v>53</v>
      </c>
      <c r="W5" s="23"/>
      <c r="X5" s="23"/>
      <c r="Y5" s="23"/>
      <c r="Z5" s="23"/>
      <c r="AA5" s="23"/>
      <c r="AB5" s="23"/>
      <c r="AC5" s="24"/>
      <c r="AE5" s="30"/>
      <c r="AF5" s="36" t="s">
        <v>102</v>
      </c>
      <c r="AG5" s="48">
        <v>0.6</v>
      </c>
      <c r="AH5" s="38">
        <v>2</v>
      </c>
      <c r="AI5" s="38">
        <v>3</v>
      </c>
      <c r="AJ5" s="37"/>
    </row>
    <row r="6" spans="1:36" x14ac:dyDescent="0.25">
      <c r="A6" s="14"/>
      <c r="B6" s="59" t="s">
        <v>204</v>
      </c>
      <c r="C6" s="110">
        <v>478</v>
      </c>
      <c r="D6" s="110">
        <v>482</v>
      </c>
      <c r="E6" s="110">
        <v>480</v>
      </c>
      <c r="F6" s="110">
        <v>469</v>
      </c>
      <c r="G6" s="110">
        <v>467</v>
      </c>
      <c r="H6" s="23"/>
      <c r="I6" s="23"/>
      <c r="J6" s="23"/>
      <c r="K6" s="23"/>
      <c r="L6" s="23"/>
      <c r="M6" s="23"/>
      <c r="N6" s="24"/>
      <c r="P6" s="12"/>
      <c r="Q6" s="22" t="s">
        <v>136</v>
      </c>
      <c r="R6" s="23">
        <v>0</v>
      </c>
      <c r="S6" s="23">
        <v>0</v>
      </c>
      <c r="T6" s="23">
        <v>0</v>
      </c>
      <c r="U6" s="23">
        <v>4</v>
      </c>
      <c r="V6" s="23">
        <v>19</v>
      </c>
      <c r="W6" s="23"/>
      <c r="X6" s="23"/>
      <c r="Y6" s="23"/>
      <c r="Z6" s="23"/>
      <c r="AA6" s="23"/>
      <c r="AB6" s="23"/>
      <c r="AC6" s="24"/>
      <c r="AE6" s="30"/>
      <c r="AF6" s="36" t="s">
        <v>34</v>
      </c>
      <c r="AG6" s="88">
        <v>0.1</v>
      </c>
      <c r="AH6" s="23"/>
      <c r="AI6" s="62">
        <v>3</v>
      </c>
      <c r="AJ6" s="23" t="s">
        <v>178</v>
      </c>
    </row>
    <row r="7" spans="1:36" x14ac:dyDescent="0.25">
      <c r="A7" s="14"/>
      <c r="B7" s="59" t="s">
        <v>203</v>
      </c>
      <c r="C7" s="115">
        <v>6</v>
      </c>
      <c r="D7" s="26">
        <f>4+6</f>
        <v>10</v>
      </c>
      <c r="E7" s="26">
        <f>3+10</f>
        <v>13</v>
      </c>
      <c r="F7" s="26">
        <f>4+13</f>
        <v>17</v>
      </c>
      <c r="G7" s="26">
        <f>2+17</f>
        <v>19</v>
      </c>
      <c r="H7" s="110"/>
      <c r="I7" s="110"/>
      <c r="J7" s="110"/>
      <c r="K7" s="110"/>
      <c r="L7" s="110"/>
      <c r="M7" s="110"/>
      <c r="N7" s="111"/>
      <c r="P7" s="12"/>
      <c r="Q7" s="22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4"/>
      <c r="AE7" s="30"/>
      <c r="AF7" s="36" t="s">
        <v>215</v>
      </c>
      <c r="AG7" s="48">
        <v>0.6</v>
      </c>
      <c r="AH7" s="38">
        <v>2</v>
      </c>
      <c r="AI7" s="38">
        <v>3</v>
      </c>
      <c r="AJ7" s="23"/>
    </row>
    <row r="8" spans="1:36" x14ac:dyDescent="0.25">
      <c r="A8" s="14"/>
      <c r="B8" s="26"/>
      <c r="C8" s="26"/>
      <c r="D8" s="26"/>
      <c r="E8" s="26"/>
      <c r="F8" s="26"/>
      <c r="G8" s="115"/>
      <c r="H8" s="26"/>
      <c r="I8" s="26"/>
      <c r="J8" s="26"/>
      <c r="K8" s="26"/>
      <c r="L8" s="26"/>
      <c r="M8" s="26"/>
      <c r="N8" s="27"/>
      <c r="P8" s="12"/>
      <c r="Q8" s="19" t="s">
        <v>36</v>
      </c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1"/>
      <c r="AE8" s="30"/>
      <c r="AF8" s="36" t="s">
        <v>35</v>
      </c>
      <c r="AG8" s="88">
        <v>0.2</v>
      </c>
      <c r="AH8" s="23"/>
      <c r="AI8" s="23">
        <v>3</v>
      </c>
      <c r="AJ8" s="23" t="s">
        <v>179</v>
      </c>
    </row>
    <row r="9" spans="1:36" x14ac:dyDescent="0.25">
      <c r="A9" s="14"/>
      <c r="P9" s="12"/>
      <c r="Q9" s="25" t="s">
        <v>37</v>
      </c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E9" s="30"/>
      <c r="AF9" s="36"/>
      <c r="AG9" s="23"/>
      <c r="AH9" s="23"/>
      <c r="AI9" s="23"/>
      <c r="AJ9" s="23"/>
    </row>
    <row r="10" spans="1:36" x14ac:dyDescent="0.25">
      <c r="A10" s="14"/>
      <c r="P10" s="12"/>
      <c r="Q10" s="25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E10" s="30"/>
      <c r="AF10" s="25"/>
      <c r="AG10" s="26"/>
      <c r="AH10" s="26"/>
      <c r="AI10" s="26"/>
      <c r="AJ10" s="26"/>
    </row>
    <row r="11" spans="1:36" x14ac:dyDescent="0.25">
      <c r="A11" s="14"/>
      <c r="P11" s="12"/>
      <c r="AE11" s="30"/>
    </row>
    <row r="12" spans="1:36" x14ac:dyDescent="0.25">
      <c r="A12" s="14"/>
      <c r="P12" s="12"/>
      <c r="AE12" s="30"/>
    </row>
    <row r="13" spans="1:36" x14ac:dyDescent="0.25">
      <c r="A13" s="14"/>
      <c r="P13" s="12"/>
      <c r="AE13" s="30"/>
    </row>
    <row r="14" spans="1:36" x14ac:dyDescent="0.25">
      <c r="A14" s="14"/>
      <c r="P14" s="12"/>
      <c r="AE14" s="30"/>
      <c r="AF14" s="52" t="s">
        <v>125</v>
      </c>
      <c r="AG14" s="53" t="s">
        <v>31</v>
      </c>
      <c r="AH14" s="53" t="s">
        <v>30</v>
      </c>
      <c r="AI14" s="53" t="s">
        <v>32</v>
      </c>
      <c r="AJ14" s="53" t="s">
        <v>33</v>
      </c>
    </row>
    <row r="15" spans="1:36" x14ac:dyDescent="0.25">
      <c r="A15" s="14"/>
      <c r="P15" s="12"/>
      <c r="AE15" s="30"/>
      <c r="AF15" s="36" t="s">
        <v>122</v>
      </c>
      <c r="AG15" s="48">
        <v>0.95</v>
      </c>
      <c r="AH15" s="38">
        <v>2</v>
      </c>
      <c r="AI15" s="38">
        <v>3</v>
      </c>
      <c r="AJ15" s="37" t="s">
        <v>124</v>
      </c>
    </row>
    <row r="16" spans="1:36" x14ac:dyDescent="0.25">
      <c r="A16" s="14"/>
      <c r="P16" s="12"/>
      <c r="AE16" s="30"/>
      <c r="AF16" t="s">
        <v>213</v>
      </c>
      <c r="AG16" s="48">
        <v>0.6</v>
      </c>
      <c r="AH16" s="38">
        <v>2</v>
      </c>
      <c r="AI16" s="38">
        <v>3</v>
      </c>
      <c r="AJ16" t="s">
        <v>214</v>
      </c>
    </row>
    <row r="17" spans="1:36" x14ac:dyDescent="0.25">
      <c r="A17" s="14"/>
      <c r="P17" s="12"/>
      <c r="AE17" s="30"/>
      <c r="AF17" s="36" t="s">
        <v>120</v>
      </c>
      <c r="AG17" s="48">
        <v>0</v>
      </c>
      <c r="AH17" s="38"/>
      <c r="AI17" s="37">
        <v>4</v>
      </c>
      <c r="AJ17" s="37" t="s">
        <v>123</v>
      </c>
    </row>
    <row r="18" spans="1:36" x14ac:dyDescent="0.25">
      <c r="A18" s="14"/>
      <c r="P18" s="12"/>
      <c r="AE18" s="30"/>
      <c r="AF18" s="36" t="s">
        <v>121</v>
      </c>
      <c r="AG18" s="88">
        <v>0</v>
      </c>
      <c r="AH18" s="38"/>
      <c r="AI18" s="62">
        <v>4</v>
      </c>
      <c r="AJ18" s="37" t="s">
        <v>123</v>
      </c>
    </row>
    <row r="19" spans="1:36" x14ac:dyDescent="0.25">
      <c r="A19" s="14"/>
      <c r="P19" s="12"/>
      <c r="AE19" s="30"/>
      <c r="AF19" s="36"/>
      <c r="AG19" s="23"/>
      <c r="AH19" s="23"/>
      <c r="AI19" s="23"/>
      <c r="AJ19" s="23"/>
    </row>
    <row r="20" spans="1:36" x14ac:dyDescent="0.25">
      <c r="A20" s="14"/>
      <c r="P20" s="12"/>
      <c r="AE20" s="30"/>
      <c r="AF20" s="25"/>
      <c r="AG20" s="26"/>
      <c r="AH20" s="26"/>
      <c r="AI20" s="26"/>
      <c r="AJ20" s="26"/>
    </row>
    <row r="21" spans="1:36" x14ac:dyDescent="0.25">
      <c r="A21" s="14"/>
      <c r="P21" s="12"/>
      <c r="AE21" s="30"/>
      <c r="AG21" s="89">
        <v>1</v>
      </c>
      <c r="AH21">
        <v>1</v>
      </c>
      <c r="AI21">
        <v>4</v>
      </c>
    </row>
    <row r="22" spans="1:36" x14ac:dyDescent="0.25">
      <c r="A22" s="14"/>
      <c r="P22" s="12"/>
      <c r="AE22" s="30"/>
      <c r="AG22">
        <v>0</v>
      </c>
      <c r="AH22">
        <v>3</v>
      </c>
      <c r="AI22">
        <v>1</v>
      </c>
    </row>
    <row r="23" spans="1:36" x14ac:dyDescent="0.25">
      <c r="A23" s="14"/>
      <c r="P23" s="12"/>
      <c r="AE23" s="30"/>
    </row>
    <row r="24" spans="1:36" x14ac:dyDescent="0.25">
      <c r="A24" s="14"/>
      <c r="P24" s="12"/>
      <c r="AE24" s="30"/>
    </row>
    <row r="25" spans="1:36" x14ac:dyDescent="0.25">
      <c r="A25" s="14"/>
      <c r="P25" s="12"/>
      <c r="AE25" s="30"/>
    </row>
    <row r="26" spans="1:36" x14ac:dyDescent="0.25">
      <c r="A26" s="14"/>
      <c r="P26" s="12"/>
      <c r="AE26" s="30"/>
    </row>
    <row r="27" spans="1:36" x14ac:dyDescent="0.25">
      <c r="A27" s="14"/>
      <c r="P27" s="12"/>
      <c r="AE27" s="30"/>
    </row>
    <row r="28" spans="1:36" x14ac:dyDescent="0.25">
      <c r="A28" s="14"/>
      <c r="P28" s="12"/>
      <c r="AE28" s="30"/>
    </row>
    <row r="30" spans="1:36" ht="18" x14ac:dyDescent="0.25">
      <c r="A30" s="11" t="s">
        <v>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P30" s="7" t="s">
        <v>7</v>
      </c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E30" s="35" t="s">
        <v>44</v>
      </c>
      <c r="AF30" s="32"/>
      <c r="AG30" s="32"/>
      <c r="AH30" s="32"/>
      <c r="AI30" s="32"/>
      <c r="AJ30" s="32"/>
    </row>
    <row r="31" spans="1:36" x14ac:dyDescent="0.25">
      <c r="A31" s="5"/>
      <c r="B31" s="16" t="s">
        <v>1</v>
      </c>
      <c r="C31" s="17">
        <v>1</v>
      </c>
      <c r="D31" s="17">
        <v>2</v>
      </c>
      <c r="E31" s="17">
        <v>3</v>
      </c>
      <c r="F31" s="17">
        <v>4</v>
      </c>
      <c r="G31" s="17">
        <v>5</v>
      </c>
      <c r="H31" s="17">
        <v>6</v>
      </c>
      <c r="I31" s="17">
        <v>7</v>
      </c>
      <c r="J31" s="17">
        <v>8</v>
      </c>
      <c r="K31" s="17">
        <v>9</v>
      </c>
      <c r="L31" s="17">
        <v>10</v>
      </c>
      <c r="M31" s="17">
        <v>11</v>
      </c>
      <c r="N31" s="18">
        <v>12</v>
      </c>
      <c r="P31" s="6"/>
      <c r="Q31" s="16" t="s">
        <v>1</v>
      </c>
      <c r="R31" s="17">
        <v>1</v>
      </c>
      <c r="S31" s="17">
        <v>2</v>
      </c>
      <c r="T31" s="17">
        <v>3</v>
      </c>
      <c r="U31" s="17">
        <v>4</v>
      </c>
      <c r="V31" s="17">
        <v>5</v>
      </c>
      <c r="W31" s="17">
        <v>6</v>
      </c>
      <c r="X31" s="17">
        <v>7</v>
      </c>
      <c r="Y31" s="17">
        <v>8</v>
      </c>
      <c r="Z31" s="17">
        <v>9</v>
      </c>
      <c r="AA31" s="17">
        <v>10</v>
      </c>
      <c r="AB31" s="17">
        <v>11</v>
      </c>
      <c r="AC31" s="18">
        <v>12</v>
      </c>
      <c r="AE31" s="32"/>
      <c r="AF31" s="50" t="s">
        <v>104</v>
      </c>
      <c r="AG31" s="50"/>
      <c r="AH31" s="50"/>
      <c r="AI31" s="51"/>
      <c r="AJ31" s="51"/>
    </row>
    <row r="32" spans="1:36" x14ac:dyDescent="0.25">
      <c r="A32" s="5"/>
      <c r="B32" s="54" t="s">
        <v>10</v>
      </c>
      <c r="C32" s="113">
        <v>24</v>
      </c>
      <c r="D32" s="113">
        <v>28</v>
      </c>
      <c r="E32" s="113">
        <v>32</v>
      </c>
      <c r="F32" s="113">
        <v>44</v>
      </c>
      <c r="G32" s="113">
        <v>56</v>
      </c>
      <c r="H32" s="113">
        <v>69</v>
      </c>
      <c r="I32" s="20"/>
      <c r="J32" s="20"/>
      <c r="K32" s="20"/>
      <c r="L32" s="20"/>
      <c r="M32" s="20"/>
      <c r="N32" s="21"/>
      <c r="P32" s="6"/>
      <c r="Q32" s="22" t="s">
        <v>61</v>
      </c>
      <c r="R32" s="42">
        <f>3.444+0.854+3.382+0.279</f>
        <v>7.9589999999999996</v>
      </c>
      <c r="S32" s="23">
        <v>8.3000000000000007</v>
      </c>
      <c r="T32" s="23">
        <v>9</v>
      </c>
      <c r="U32" s="116">
        <v>10.199999999999999</v>
      </c>
      <c r="V32" s="23">
        <v>10.8</v>
      </c>
      <c r="W32" s="23"/>
      <c r="X32" s="23"/>
      <c r="Y32" s="23"/>
      <c r="Z32" s="23"/>
      <c r="AA32" s="23"/>
      <c r="AB32" s="23"/>
      <c r="AC32" s="24"/>
      <c r="AE32" s="32"/>
      <c r="AF32" s="23"/>
      <c r="AG32" s="23"/>
      <c r="AH32" s="23"/>
      <c r="AI32" s="61" t="s">
        <v>56</v>
      </c>
      <c r="AJ32" s="49" t="s">
        <v>57</v>
      </c>
    </row>
    <row r="33" spans="1:36" x14ac:dyDescent="0.25">
      <c r="A33" s="5"/>
      <c r="B33" s="55" t="s">
        <v>11</v>
      </c>
      <c r="C33" s="114">
        <v>24</v>
      </c>
      <c r="D33" s="114">
        <v>30</v>
      </c>
      <c r="E33" s="114">
        <v>40</v>
      </c>
      <c r="F33" s="114">
        <v>50</v>
      </c>
      <c r="G33" s="114">
        <v>60</v>
      </c>
      <c r="H33" s="114">
        <v>81</v>
      </c>
      <c r="I33" s="23"/>
      <c r="J33" s="23"/>
      <c r="K33" s="23"/>
      <c r="L33" s="23"/>
      <c r="M33" s="23"/>
      <c r="N33" s="23"/>
      <c r="P33" s="6"/>
      <c r="Q33" s="22" t="s">
        <v>216</v>
      </c>
      <c r="R33" s="23">
        <v>26</v>
      </c>
      <c r="S33" s="23">
        <f>R33+38</f>
        <v>64</v>
      </c>
      <c r="T33" s="23">
        <f>42+64</f>
        <v>106</v>
      </c>
      <c r="U33" s="23">
        <f>38+106</f>
        <v>144</v>
      </c>
      <c r="V33" s="23">
        <f>43+U33</f>
        <v>187</v>
      </c>
      <c r="W33" s="23"/>
      <c r="X33" s="23"/>
      <c r="Y33" s="23"/>
      <c r="Z33" s="23"/>
      <c r="AA33" s="23"/>
      <c r="AB33" s="23"/>
      <c r="AC33" s="24"/>
      <c r="AE33" s="32"/>
      <c r="AF33" s="23" t="s">
        <v>39</v>
      </c>
      <c r="AG33" s="23"/>
      <c r="AH33" s="23"/>
      <c r="AI33" s="61">
        <v>5</v>
      </c>
      <c r="AJ33" s="49">
        <v>4</v>
      </c>
    </row>
    <row r="34" spans="1:36" x14ac:dyDescent="0.25">
      <c r="A34" s="5"/>
      <c r="B34" s="55" t="s">
        <v>12</v>
      </c>
      <c r="C34" s="114">
        <v>14</v>
      </c>
      <c r="D34" s="114">
        <v>20</v>
      </c>
      <c r="E34" s="114">
        <v>36</v>
      </c>
      <c r="F34" s="114">
        <v>36</v>
      </c>
      <c r="G34" s="114">
        <v>36</v>
      </c>
      <c r="H34" s="114">
        <v>36</v>
      </c>
      <c r="I34" s="23"/>
      <c r="J34" s="23"/>
      <c r="K34" s="23"/>
      <c r="L34" s="23"/>
      <c r="M34" s="23"/>
      <c r="N34" s="24"/>
      <c r="P34" s="6"/>
      <c r="Q34" s="22" t="s">
        <v>217</v>
      </c>
      <c r="R34" s="23">
        <v>0</v>
      </c>
      <c r="S34" s="23">
        <v>0</v>
      </c>
      <c r="T34" s="23">
        <v>2</v>
      </c>
      <c r="U34" s="23">
        <v>1</v>
      </c>
      <c r="V34" s="23">
        <v>13</v>
      </c>
      <c r="W34" s="23"/>
      <c r="X34" s="23"/>
      <c r="Y34" s="23"/>
      <c r="Z34" s="23"/>
      <c r="AA34" s="23"/>
      <c r="AB34" s="23"/>
      <c r="AC34" s="24"/>
      <c r="AE34" s="32"/>
      <c r="AF34" s="23" t="s">
        <v>40</v>
      </c>
      <c r="AG34" s="23"/>
      <c r="AH34" s="23"/>
      <c r="AI34" s="61">
        <v>5</v>
      </c>
      <c r="AJ34" s="49">
        <v>4</v>
      </c>
    </row>
    <row r="35" spans="1:36" x14ac:dyDescent="0.25">
      <c r="A35" s="5"/>
      <c r="B35" s="56" t="s">
        <v>13</v>
      </c>
      <c r="C35" s="113">
        <v>2</v>
      </c>
      <c r="D35" s="113">
        <v>4</v>
      </c>
      <c r="E35" s="113">
        <v>6</v>
      </c>
      <c r="F35" s="113">
        <v>8</v>
      </c>
      <c r="G35" s="113">
        <v>10</v>
      </c>
      <c r="H35" s="113">
        <v>12</v>
      </c>
      <c r="I35" s="20">
        <v>13</v>
      </c>
      <c r="J35" s="20">
        <v>14</v>
      </c>
      <c r="K35" s="20">
        <v>16</v>
      </c>
      <c r="L35" s="20">
        <v>18</v>
      </c>
      <c r="M35" s="20">
        <v>20</v>
      </c>
      <c r="N35" s="21">
        <v>22</v>
      </c>
      <c r="P35" s="6"/>
      <c r="Q35" s="22" t="s">
        <v>177</v>
      </c>
      <c r="R35" s="23">
        <v>0</v>
      </c>
      <c r="S35" s="23">
        <v>0</v>
      </c>
      <c r="T35" s="23">
        <v>1</v>
      </c>
      <c r="U35" s="23">
        <v>2</v>
      </c>
      <c r="V35" s="23">
        <v>4</v>
      </c>
      <c r="W35" s="23"/>
      <c r="X35" s="23"/>
      <c r="Y35" s="23"/>
      <c r="Z35" s="23"/>
      <c r="AA35" s="23"/>
      <c r="AB35" s="23"/>
      <c r="AC35" s="24"/>
      <c r="AE35" s="32"/>
      <c r="AF35" s="23" t="s">
        <v>100</v>
      </c>
      <c r="AG35" s="23"/>
      <c r="AH35" s="23"/>
      <c r="AI35" s="61"/>
      <c r="AJ35" s="49"/>
    </row>
    <row r="36" spans="1:36" x14ac:dyDescent="0.25">
      <c r="A36" s="5"/>
      <c r="B36" s="57" t="s">
        <v>14</v>
      </c>
      <c r="C36" s="114">
        <v>4</v>
      </c>
      <c r="D36" s="114">
        <v>6</v>
      </c>
      <c r="E36" s="114">
        <v>7</v>
      </c>
      <c r="F36" s="114">
        <v>12</v>
      </c>
      <c r="G36" s="114">
        <v>14</v>
      </c>
      <c r="H36" s="114">
        <v>17</v>
      </c>
      <c r="I36" s="26"/>
      <c r="J36" s="26"/>
      <c r="K36" s="26"/>
      <c r="L36" s="26"/>
      <c r="M36" s="26"/>
      <c r="N36" s="27"/>
      <c r="P36" s="6"/>
      <c r="Q36" s="22" t="s">
        <v>62</v>
      </c>
      <c r="R36" s="23"/>
      <c r="S36" s="23"/>
      <c r="T36" s="23"/>
      <c r="U36" s="23"/>
      <c r="V36" s="23">
        <v>50</v>
      </c>
      <c r="W36" s="23"/>
      <c r="X36" s="23"/>
      <c r="Y36" s="23"/>
      <c r="Z36" s="23"/>
      <c r="AA36" s="23"/>
      <c r="AB36" s="23"/>
      <c r="AC36" s="24"/>
      <c r="AE36" s="32"/>
    </row>
    <row r="37" spans="1:36" x14ac:dyDescent="0.25">
      <c r="A37" s="5"/>
      <c r="P37" s="6"/>
      <c r="AE37" s="32"/>
    </row>
    <row r="38" spans="1:36" x14ac:dyDescent="0.25">
      <c r="A38" s="5"/>
      <c r="P38" s="6"/>
      <c r="AE38" s="32"/>
    </row>
    <row r="39" spans="1:36" x14ac:dyDescent="0.25">
      <c r="A39" s="5"/>
      <c r="P39" s="6"/>
      <c r="AE39" s="32"/>
    </row>
    <row r="40" spans="1:36" x14ac:dyDescent="0.25">
      <c r="A40" s="5"/>
      <c r="P40" s="6"/>
      <c r="AE40" s="32"/>
    </row>
    <row r="41" spans="1:36" x14ac:dyDescent="0.25">
      <c r="A41" s="5"/>
      <c r="P41" s="6"/>
      <c r="AE41" s="32"/>
    </row>
    <row r="42" spans="1:36" x14ac:dyDescent="0.25">
      <c r="A42" s="5"/>
      <c r="P42" s="6"/>
      <c r="AE42" s="32"/>
    </row>
    <row r="43" spans="1:36" x14ac:dyDescent="0.25">
      <c r="A43" s="5"/>
      <c r="P43" s="6"/>
      <c r="AE43" s="32"/>
      <c r="AG43" s="34"/>
      <c r="AH43" s="34"/>
    </row>
    <row r="44" spans="1:36" x14ac:dyDescent="0.25">
      <c r="A44" s="5"/>
      <c r="P44" s="6"/>
      <c r="AE44" s="32"/>
      <c r="AG44" s="34"/>
      <c r="AH44" s="34"/>
    </row>
    <row r="45" spans="1:36" x14ac:dyDescent="0.25">
      <c r="A45" s="5"/>
      <c r="P45" s="6"/>
      <c r="AE45" s="32"/>
      <c r="AG45" s="34"/>
      <c r="AH45" s="34"/>
    </row>
    <row r="46" spans="1:36" x14ac:dyDescent="0.25">
      <c r="A46" s="5"/>
      <c r="P46" s="6"/>
      <c r="AE46" s="32"/>
      <c r="AF46" s="34"/>
      <c r="AG46" s="34"/>
      <c r="AH46" s="34"/>
    </row>
    <row r="47" spans="1:36" x14ac:dyDescent="0.25">
      <c r="A47" s="5"/>
      <c r="P47" s="6"/>
      <c r="AE47" s="32"/>
      <c r="AF47" s="34"/>
      <c r="AG47" s="34"/>
      <c r="AH47" s="34"/>
    </row>
    <row r="48" spans="1:36" x14ac:dyDescent="0.25">
      <c r="A48" s="5"/>
      <c r="P48" s="6"/>
      <c r="AE48" s="32"/>
    </row>
    <row r="49" spans="1:36" x14ac:dyDescent="0.25">
      <c r="A49" s="5"/>
      <c r="P49" s="6"/>
      <c r="AE49" s="32"/>
    </row>
    <row r="50" spans="1:36" x14ac:dyDescent="0.25">
      <c r="A50" s="5"/>
      <c r="P50" s="6"/>
      <c r="AE50" s="32"/>
    </row>
    <row r="51" spans="1:36" x14ac:dyDescent="0.25">
      <c r="A51" s="5"/>
      <c r="P51" s="6"/>
      <c r="AE51" s="32"/>
    </row>
    <row r="52" spans="1:36" x14ac:dyDescent="0.25">
      <c r="A52" s="5"/>
      <c r="P52" s="6"/>
      <c r="AE52" s="32"/>
    </row>
    <row r="53" spans="1:36" x14ac:dyDescent="0.25">
      <c r="A53" s="5"/>
      <c r="P53" s="6"/>
      <c r="AE53" s="32"/>
    </row>
    <row r="54" spans="1:36" x14ac:dyDescent="0.25">
      <c r="A54" s="5"/>
      <c r="P54" s="6"/>
      <c r="AE54" s="32"/>
    </row>
    <row r="55" spans="1:36" x14ac:dyDescent="0.25">
      <c r="A55" s="5"/>
      <c r="P55" s="6"/>
      <c r="AE55" s="32"/>
    </row>
    <row r="56" spans="1:36" x14ac:dyDescent="0.25">
      <c r="A56" s="5"/>
      <c r="P56" s="6"/>
      <c r="AE56" s="32"/>
    </row>
    <row r="57" spans="1:36" x14ac:dyDescent="0.25">
      <c r="A57" s="5"/>
      <c r="P57" s="6"/>
      <c r="AE57" s="32"/>
      <c r="AF57" s="50" t="s">
        <v>112</v>
      </c>
      <c r="AG57" s="51"/>
      <c r="AH57" s="51"/>
      <c r="AI57" s="51"/>
      <c r="AJ57" s="51"/>
    </row>
  </sheetData>
  <conditionalFormatting sqref="AJ25:AJ28">
    <cfRule type="iconSet" priority="42">
      <iconSet iconSet="3Arrows">
        <cfvo type="percent" val="0"/>
        <cfvo type="percent" val="33"/>
        <cfvo type="percent" val="67"/>
      </iconSet>
    </cfRule>
  </conditionalFormatting>
  <conditionalFormatting sqref="AH2">
    <cfRule type="iconSet" priority="3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I2">
    <cfRule type="iconSet" priority="2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G3:AG6 AG17:AG22 AH20 AG8:AG15">
    <cfRule type="iconSet" priority="4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H3:AH6 AH17:AH19 AH21:AH22 AH8:AH15">
    <cfRule type="iconSet" priority="46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I3:AI6 AI17:AI22 AI8:AI15">
    <cfRule type="iconSet" priority="49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G16">
    <cfRule type="iconSet" priority="6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H16">
    <cfRule type="iconSet" priority="4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I16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G7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H7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I7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23622047244094491" right="0.23622047244094491" top="1.1811023622047245" bottom="0.19685039370078741" header="0.31496062992125984" footer="0.31496062992125984"/>
  <pageSetup paperSize="9" scale="54" orientation="landscape" r:id="rId1"/>
  <headerFooter>
    <oddHeader>&amp;L&amp;G&amp;C&amp;"Lato Black,Gras"&amp;22&amp;F&amp;R&amp;"-,Gras"&amp;14au 31/01/2020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F59C5-7914-4B9E-A27A-B1F1F5235378}">
  <sheetPr>
    <tabColor rgb="FFC00000"/>
    <pageSetUpPr fitToPage="1"/>
  </sheetPr>
  <dimension ref="A1:L18"/>
  <sheetViews>
    <sheetView zoomScale="70" zoomScaleNormal="70" zoomScalePageLayoutView="40" workbookViewId="0">
      <selection activeCell="AI15" sqref="AI15"/>
    </sheetView>
  </sheetViews>
  <sheetFormatPr baseColWidth="10" defaultColWidth="3.140625" defaultRowHeight="15" x14ac:dyDescent="0.25"/>
  <cols>
    <col min="2" max="2" width="15.140625" style="69" customWidth="1"/>
    <col min="3" max="3" width="39.5703125" style="69" customWidth="1"/>
    <col min="4" max="4" width="1.85546875" customWidth="1"/>
    <col min="6" max="6" width="18.28515625" style="69" customWidth="1"/>
    <col min="7" max="7" width="38.85546875" style="69" customWidth="1"/>
    <col min="8" max="8" width="1.28515625" customWidth="1"/>
    <col min="9" max="9" width="3" customWidth="1"/>
    <col min="10" max="10" width="14.140625" style="69" customWidth="1"/>
    <col min="11" max="11" width="29.85546875" style="69" customWidth="1"/>
    <col min="12" max="12" width="10" bestFit="1" customWidth="1"/>
    <col min="13" max="13" width="9.5703125" bestFit="1" customWidth="1"/>
  </cols>
  <sheetData>
    <row r="1" spans="1:12" s="1" customFormat="1" ht="18" x14ac:dyDescent="0.25">
      <c r="A1" s="10" t="s">
        <v>0</v>
      </c>
      <c r="B1" s="63"/>
      <c r="C1" s="63"/>
      <c r="E1" s="9" t="s">
        <v>5</v>
      </c>
      <c r="F1" s="73"/>
      <c r="G1" s="73"/>
      <c r="I1" s="28" t="s">
        <v>24</v>
      </c>
      <c r="J1" s="71"/>
      <c r="K1" s="71"/>
      <c r="L1" s="29"/>
    </row>
    <row r="2" spans="1:12" x14ac:dyDescent="0.25">
      <c r="A2" s="14"/>
      <c r="B2" s="75" t="s">
        <v>1</v>
      </c>
      <c r="C2" s="64">
        <v>1</v>
      </c>
      <c r="E2" s="12"/>
      <c r="F2" s="75" t="s">
        <v>1</v>
      </c>
      <c r="G2" s="64">
        <v>1</v>
      </c>
      <c r="I2" s="30"/>
      <c r="J2" s="53" t="s">
        <v>31</v>
      </c>
      <c r="K2" s="53" t="s">
        <v>30</v>
      </c>
      <c r="L2" s="53" t="s">
        <v>32</v>
      </c>
    </row>
    <row r="3" spans="1:12" s="2" customFormat="1" ht="30" x14ac:dyDescent="0.25">
      <c r="A3" s="15"/>
      <c r="B3" s="76" t="s">
        <v>3</v>
      </c>
      <c r="C3" s="65" t="s">
        <v>15</v>
      </c>
      <c r="E3" s="13"/>
      <c r="F3" s="84" t="s">
        <v>6</v>
      </c>
      <c r="G3" s="65" t="s">
        <v>18</v>
      </c>
      <c r="I3" s="31"/>
      <c r="J3" s="94">
        <v>0</v>
      </c>
      <c r="K3" s="95">
        <v>1</v>
      </c>
      <c r="L3" s="95">
        <v>1</v>
      </c>
    </row>
    <row r="4" spans="1:12" ht="30" x14ac:dyDescent="0.25">
      <c r="A4" s="14"/>
      <c r="B4" s="77" t="s">
        <v>2</v>
      </c>
      <c r="C4" s="66" t="s">
        <v>16</v>
      </c>
      <c r="E4" s="12"/>
      <c r="F4" s="85" t="s">
        <v>84</v>
      </c>
      <c r="G4" s="66" t="s">
        <v>19</v>
      </c>
      <c r="I4" s="30"/>
      <c r="J4" s="96" t="s">
        <v>140</v>
      </c>
      <c r="K4" s="96" t="s">
        <v>141</v>
      </c>
      <c r="L4" s="97" t="s">
        <v>146</v>
      </c>
    </row>
    <row r="5" spans="1:12" ht="30" x14ac:dyDescent="0.25">
      <c r="A5" s="14"/>
      <c r="B5" s="77" t="s">
        <v>116</v>
      </c>
      <c r="C5" s="69" t="s">
        <v>137</v>
      </c>
      <c r="E5" s="12"/>
      <c r="F5" s="85" t="s">
        <v>83</v>
      </c>
      <c r="G5" s="66" t="s">
        <v>20</v>
      </c>
      <c r="I5" s="30"/>
      <c r="J5" s="94">
        <v>1</v>
      </c>
      <c r="K5" s="95">
        <v>3</v>
      </c>
      <c r="L5" s="95">
        <v>4</v>
      </c>
    </row>
    <row r="6" spans="1:12" ht="45" x14ac:dyDescent="0.25">
      <c r="A6" s="14"/>
      <c r="B6" s="78" t="s">
        <v>4</v>
      </c>
      <c r="C6" s="66" t="s">
        <v>17</v>
      </c>
      <c r="E6" s="12"/>
      <c r="F6" s="85" t="s">
        <v>136</v>
      </c>
      <c r="G6" s="67" t="s">
        <v>139</v>
      </c>
      <c r="I6" s="30"/>
      <c r="J6" s="98" t="s">
        <v>144</v>
      </c>
      <c r="K6" s="98" t="s">
        <v>142</v>
      </c>
      <c r="L6" s="98" t="s">
        <v>143</v>
      </c>
    </row>
    <row r="7" spans="1:12" ht="75" x14ac:dyDescent="0.25">
      <c r="A7" s="14"/>
      <c r="B7" s="79" t="s">
        <v>41</v>
      </c>
      <c r="C7" s="67" t="s">
        <v>138</v>
      </c>
      <c r="E7" s="12"/>
      <c r="F7" s="90" t="s">
        <v>36</v>
      </c>
      <c r="G7" s="91" t="s">
        <v>58</v>
      </c>
      <c r="I7" s="30"/>
    </row>
    <row r="8" spans="1:12" ht="30" x14ac:dyDescent="0.25">
      <c r="A8" s="14"/>
      <c r="C8" s="68"/>
      <c r="E8" s="12"/>
      <c r="F8" s="92" t="s">
        <v>37</v>
      </c>
      <c r="G8" s="93"/>
      <c r="I8" s="30"/>
    </row>
    <row r="9" spans="1:12" x14ac:dyDescent="0.25">
      <c r="A9" s="14"/>
      <c r="E9" s="12"/>
      <c r="I9" s="30"/>
    </row>
    <row r="11" spans="1:12" ht="18" x14ac:dyDescent="0.25">
      <c r="A11" s="11" t="s">
        <v>9</v>
      </c>
      <c r="B11" s="70"/>
      <c r="C11" s="70"/>
      <c r="E11" s="7" t="s">
        <v>7</v>
      </c>
      <c r="F11" s="74"/>
      <c r="G11" s="74"/>
      <c r="I11" s="33" t="s">
        <v>29</v>
      </c>
      <c r="J11" s="72"/>
      <c r="K11" s="72"/>
      <c r="L11" s="32"/>
    </row>
    <row r="12" spans="1:12" x14ac:dyDescent="0.25">
      <c r="A12" s="5"/>
      <c r="B12" s="75" t="s">
        <v>1</v>
      </c>
      <c r="C12" s="64">
        <v>1</v>
      </c>
      <c r="E12" s="6"/>
      <c r="F12" s="75" t="s">
        <v>1</v>
      </c>
      <c r="G12" s="64">
        <v>1</v>
      </c>
      <c r="I12" s="32"/>
      <c r="J12" s="86"/>
    </row>
    <row r="13" spans="1:12" ht="30" x14ac:dyDescent="0.25">
      <c r="A13" s="5"/>
      <c r="B13" s="80" t="s">
        <v>10</v>
      </c>
      <c r="C13" s="65" t="s">
        <v>59</v>
      </c>
      <c r="E13" s="6"/>
      <c r="F13" s="85" t="s">
        <v>43</v>
      </c>
      <c r="G13" s="66" t="s">
        <v>60</v>
      </c>
      <c r="I13" s="32"/>
    </row>
    <row r="14" spans="1:12" ht="45" x14ac:dyDescent="0.25">
      <c r="A14" s="5"/>
      <c r="B14" s="81" t="s">
        <v>11</v>
      </c>
      <c r="C14" s="66" t="s">
        <v>21</v>
      </c>
      <c r="E14" s="6"/>
      <c r="F14" s="85" t="s">
        <v>105</v>
      </c>
      <c r="G14" s="66" t="s">
        <v>107</v>
      </c>
      <c r="I14" s="32"/>
      <c r="J14" s="69" t="s">
        <v>55</v>
      </c>
      <c r="K14" s="69" t="s">
        <v>113</v>
      </c>
    </row>
    <row r="15" spans="1:12" ht="30" x14ac:dyDescent="0.25">
      <c r="A15" s="5"/>
      <c r="B15" s="81" t="s">
        <v>12</v>
      </c>
      <c r="C15" s="66" t="s">
        <v>22</v>
      </c>
      <c r="E15" s="6"/>
      <c r="F15" s="85" t="s">
        <v>8</v>
      </c>
      <c r="G15" s="66" t="s">
        <v>106</v>
      </c>
      <c r="I15" s="32"/>
      <c r="J15" s="69" t="s">
        <v>129</v>
      </c>
      <c r="K15" s="69" t="s">
        <v>130</v>
      </c>
    </row>
    <row r="16" spans="1:12" ht="30" x14ac:dyDescent="0.25">
      <c r="A16" s="5"/>
      <c r="B16" s="82" t="s">
        <v>13</v>
      </c>
      <c r="C16" s="65" t="s">
        <v>23</v>
      </c>
      <c r="E16" s="6"/>
      <c r="F16" s="85" t="s">
        <v>28</v>
      </c>
      <c r="G16" s="66" t="s">
        <v>145</v>
      </c>
      <c r="I16" s="32"/>
    </row>
    <row r="17" spans="1:9" ht="30" x14ac:dyDescent="0.25">
      <c r="A17" s="5"/>
      <c r="B17" s="83" t="s">
        <v>14</v>
      </c>
      <c r="C17" s="67"/>
      <c r="E17" s="6"/>
      <c r="I17" s="32"/>
    </row>
    <row r="18" spans="1:9" x14ac:dyDescent="0.25">
      <c r="A18" s="5"/>
      <c r="E18" s="6"/>
      <c r="I18" s="32"/>
    </row>
  </sheetData>
  <conditionalFormatting sqref="K2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L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J3 J5">
    <cfRule type="iconSet" priority="3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K3 K5">
    <cfRule type="iconSet" priority="3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L3 L5">
    <cfRule type="iconSet" priority="34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scale="73" orientation="landscape" r:id="rId1"/>
  <headerFooter>
    <oddHeader>&amp;C&amp;36Notice explicative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6AE8D-778F-4681-8414-E241173EB5FF}">
  <sheetPr>
    <tabColor rgb="FFFDBE11"/>
  </sheetPr>
  <dimension ref="A3:V21"/>
  <sheetViews>
    <sheetView zoomScale="85" zoomScaleNormal="85" workbookViewId="0">
      <selection activeCell="N20" sqref="N20"/>
    </sheetView>
  </sheetViews>
  <sheetFormatPr baseColWidth="10" defaultRowHeight="15" x14ac:dyDescent="0.25"/>
  <cols>
    <col min="1" max="1" width="16.5703125" bestFit="1" customWidth="1"/>
    <col min="2" max="2" width="16.5703125" customWidth="1"/>
    <col min="3" max="3" width="17.28515625" bestFit="1" customWidth="1"/>
    <col min="5" max="5" width="14.7109375" customWidth="1"/>
    <col min="9" max="9" width="10.7109375" customWidth="1"/>
    <col min="10" max="10" width="17.5703125" bestFit="1" customWidth="1"/>
    <col min="11" max="20" width="4.140625" customWidth="1"/>
    <col min="21" max="21" width="4.85546875" customWidth="1"/>
  </cols>
  <sheetData>
    <row r="3" spans="1:22" x14ac:dyDescent="0.25">
      <c r="D3" t="s">
        <v>151</v>
      </c>
      <c r="E3" s="39">
        <v>43890</v>
      </c>
      <c r="F3" s="39">
        <f>E3+30.5</f>
        <v>43920.5</v>
      </c>
      <c r="G3" s="39">
        <f>F3+30.5</f>
        <v>43951</v>
      </c>
      <c r="H3" s="39">
        <f>G3+30.5</f>
        <v>43981.5</v>
      </c>
      <c r="J3" s="16" t="s">
        <v>1</v>
      </c>
      <c r="K3" s="17">
        <v>1</v>
      </c>
      <c r="L3" s="17">
        <v>2</v>
      </c>
      <c r="M3" s="17">
        <v>3</v>
      </c>
      <c r="N3" s="17">
        <v>4</v>
      </c>
      <c r="O3" s="17">
        <v>5</v>
      </c>
      <c r="P3" s="17">
        <v>6</v>
      </c>
      <c r="Q3" s="17">
        <v>7</v>
      </c>
      <c r="R3" s="17">
        <v>8</v>
      </c>
      <c r="S3" s="17">
        <v>9</v>
      </c>
      <c r="T3" s="17">
        <v>10</v>
      </c>
      <c r="U3" s="17">
        <v>11</v>
      </c>
      <c r="V3" s="18">
        <v>12</v>
      </c>
    </row>
    <row r="4" spans="1:22" x14ac:dyDescent="0.25">
      <c r="A4" t="s">
        <v>45</v>
      </c>
      <c r="B4" t="s">
        <v>42</v>
      </c>
      <c r="C4" t="s">
        <v>46</v>
      </c>
      <c r="D4" t="s">
        <v>150</v>
      </c>
      <c r="E4" t="s">
        <v>156</v>
      </c>
      <c r="F4" t="s">
        <v>157</v>
      </c>
      <c r="G4" t="s">
        <v>158</v>
      </c>
      <c r="H4" t="s">
        <v>159</v>
      </c>
      <c r="J4" t="s">
        <v>111</v>
      </c>
      <c r="K4">
        <v>4</v>
      </c>
      <c r="L4">
        <v>4</v>
      </c>
      <c r="M4">
        <v>5</v>
      </c>
      <c r="N4">
        <v>6</v>
      </c>
      <c r="O4">
        <v>7</v>
      </c>
      <c r="P4">
        <v>8</v>
      </c>
      <c r="Q4">
        <v>9</v>
      </c>
      <c r="R4">
        <v>10</v>
      </c>
      <c r="S4">
        <v>11</v>
      </c>
      <c r="T4">
        <v>12</v>
      </c>
      <c r="U4">
        <v>12</v>
      </c>
      <c r="V4">
        <v>12</v>
      </c>
    </row>
    <row r="5" spans="1:22" x14ac:dyDescent="0.25">
      <c r="A5" s="99" t="s">
        <v>47</v>
      </c>
      <c r="B5" s="99" t="s">
        <v>131</v>
      </c>
      <c r="C5" s="100">
        <v>43710</v>
      </c>
      <c r="D5" s="100">
        <v>43902</v>
      </c>
      <c r="E5" s="40">
        <f>IF(AND(Tableau1[[#This Row],[Date entrée]]&lt;$E$3,Tableau1[[#This Row],[Date sortie]]&gt;$E$3),($E$3-Tableau1[[#This Row],[Date entrée]])/30,"")</f>
        <v>6</v>
      </c>
      <c r="F5" s="40" t="str">
        <f>IF(AND(Tableau1[[#This Row],[Date entrée]]&lt;$F$3,Tableau1[[#This Row],[Date sortie]]&gt;$F$3),($F$3-Tableau1[[#This Row],[Date entrée]])/30,"")</f>
        <v/>
      </c>
      <c r="G5" s="40" t="str">
        <f>IF(AND(Tableau1[[#This Row],[Date entrée]]&lt;$G$3,Tableau1[[#This Row],[Date sortie]]&gt;$G$3),($G$3-Tableau1[[#This Row],[Date entrée]])/30,"")</f>
        <v/>
      </c>
      <c r="H5" s="40" t="str">
        <f>IF(AND(Tableau1[[#This Row],[Date entrée]]&lt;$H$3,Tableau1[[#This Row],[Date sortie]]&gt;$H$3),($H$3-Tableau1[[#This Row],[Date entrée]])/30,"")</f>
        <v/>
      </c>
      <c r="J5" t="s">
        <v>110</v>
      </c>
      <c r="K5">
        <v>3.5</v>
      </c>
      <c r="L5">
        <v>3.1</v>
      </c>
      <c r="M5">
        <v>2.4</v>
      </c>
      <c r="N5">
        <v>3.1</v>
      </c>
      <c r="O5">
        <v>3.4</v>
      </c>
    </row>
    <row r="6" spans="1:22" x14ac:dyDescent="0.25">
      <c r="A6" s="99" t="s">
        <v>48</v>
      </c>
      <c r="B6" s="99" t="s">
        <v>132</v>
      </c>
      <c r="C6" s="100">
        <v>43661</v>
      </c>
      <c r="D6" s="100">
        <v>43896</v>
      </c>
      <c r="E6" s="40">
        <f>IF(AND(Tableau1[[#This Row],[Date entrée]]&lt;$E$3,Tableau1[[#This Row],[Date sortie]]&gt;$E$3),($E$3-Tableau1[[#This Row],[Date entrée]])/30,"")</f>
        <v>7.6333333333333337</v>
      </c>
      <c r="F6" s="40" t="str">
        <f>IF(AND(Tableau1[[#This Row],[Date entrée]]&lt;$F$3,Tableau1[[#This Row],[Date sortie]]&gt;$F$3),($F$3-Tableau1[[#This Row],[Date entrée]])/30,"")</f>
        <v/>
      </c>
      <c r="G6" s="40" t="str">
        <f>IF(AND(Tableau1[[#This Row],[Date entrée]]&lt;$G$3,Tableau1[[#This Row],[Date sortie]]&gt;$G$3),($G$3-Tableau1[[#This Row],[Date entrée]])/30,"")</f>
        <v/>
      </c>
      <c r="H6" s="40" t="str">
        <f>IF(AND(Tableau1[[#This Row],[Date entrée]]&lt;$H$3,Tableau1[[#This Row],[Date sortie]]&gt;$H$3),($H$3-Tableau1[[#This Row],[Date entrée]])/30,"")</f>
        <v/>
      </c>
      <c r="J6" t="s">
        <v>101</v>
      </c>
      <c r="L6">
        <v>3.1</v>
      </c>
      <c r="M6">
        <v>2.4</v>
      </c>
      <c r="N6">
        <f>M6+1</f>
        <v>3.4</v>
      </c>
      <c r="O6">
        <f t="shared" ref="O6:V6" si="0">N6+1</f>
        <v>4.4000000000000004</v>
      </c>
      <c r="P6">
        <f t="shared" si="0"/>
        <v>5.4</v>
      </c>
      <c r="Q6">
        <f t="shared" si="0"/>
        <v>6.4</v>
      </c>
      <c r="R6">
        <f t="shared" si="0"/>
        <v>7.4</v>
      </c>
      <c r="S6">
        <f t="shared" si="0"/>
        <v>8.4</v>
      </c>
      <c r="T6">
        <f t="shared" si="0"/>
        <v>9.4</v>
      </c>
      <c r="U6">
        <f t="shared" si="0"/>
        <v>10.4</v>
      </c>
      <c r="V6">
        <f t="shared" si="0"/>
        <v>11.4</v>
      </c>
    </row>
    <row r="7" spans="1:22" x14ac:dyDescent="0.25">
      <c r="A7" t="s">
        <v>103</v>
      </c>
      <c r="B7" t="s">
        <v>132</v>
      </c>
      <c r="C7" s="39">
        <v>43753</v>
      </c>
      <c r="D7" s="101">
        <v>44026</v>
      </c>
      <c r="E7" s="40">
        <f>IF(AND(Tableau1[[#This Row],[Date entrée]]&lt;$E$3,Tableau1[[#This Row],[Date sortie]]&gt;$E$3),($E$3-Tableau1[[#This Row],[Date entrée]])/30,"")</f>
        <v>4.5666666666666664</v>
      </c>
      <c r="F7" s="40">
        <f>IF(AND(Tableau1[[#This Row],[Date entrée]]&lt;$F$3,Tableau1[[#This Row],[Date sortie]]&gt;$F$3),($F$3-Tableau1[[#This Row],[Date entrée]])/30,"")</f>
        <v>5.583333333333333</v>
      </c>
      <c r="G7" s="40">
        <f>IF(AND(Tableau1[[#This Row],[Date entrée]]&lt;$G$3,Tableau1[[#This Row],[Date sortie]]&gt;$G$3),($G$3-Tableau1[[#This Row],[Date entrée]])/30,"")</f>
        <v>6.6</v>
      </c>
      <c r="H7" s="40">
        <f>IF(AND(Tableau1[[#This Row],[Date entrée]]&lt;$H$3,Tableau1[[#This Row],[Date sortie]]&gt;$H$3),($H$3-Tableau1[[#This Row],[Date entrée]])/30,"")</f>
        <v>7.6166666666666663</v>
      </c>
    </row>
    <row r="8" spans="1:22" x14ac:dyDescent="0.25">
      <c r="A8" s="99" t="s">
        <v>49</v>
      </c>
      <c r="B8" s="99" t="s">
        <v>132</v>
      </c>
      <c r="C8" s="100">
        <v>43845</v>
      </c>
      <c r="D8" s="100">
        <v>43867</v>
      </c>
      <c r="E8" s="40" t="str">
        <f>IF(AND(Tableau1[[#This Row],[Date entrée]]&lt;$E$3,Tableau1[[#This Row],[Date sortie]]&gt;$E$3),($E$3-Tableau1[[#This Row],[Date entrée]])/30,"")</f>
        <v/>
      </c>
      <c r="F8" s="40" t="str">
        <f>IF(AND(Tableau1[[#This Row],[Date entrée]]&lt;$F$3,Tableau1[[#This Row],[Date sortie]]&gt;$F$3),($F$3-Tableau1[[#This Row],[Date entrée]])/30,"")</f>
        <v/>
      </c>
      <c r="G8" s="40" t="str">
        <f>IF(AND(Tableau1[[#This Row],[Date entrée]]&lt;$G$3,Tableau1[[#This Row],[Date sortie]]&gt;$G$3),($G$3-Tableau1[[#This Row],[Date entrée]])/30,"")</f>
        <v/>
      </c>
      <c r="H8" s="40" t="str">
        <f>IF(AND(Tableau1[[#This Row],[Date entrée]]&lt;$H$3,Tableau1[[#This Row],[Date sortie]]&gt;$H$3),($H$3-Tableau1[[#This Row],[Date entrée]])/30,"")</f>
        <v/>
      </c>
      <c r="J8" s="16" t="s">
        <v>1</v>
      </c>
      <c r="K8" s="17">
        <v>1</v>
      </c>
      <c r="L8" s="17">
        <v>2</v>
      </c>
      <c r="M8" s="17">
        <v>3</v>
      </c>
      <c r="N8" s="17">
        <v>4</v>
      </c>
      <c r="O8" s="17">
        <v>5</v>
      </c>
      <c r="P8" s="17">
        <v>6</v>
      </c>
      <c r="Q8" s="17">
        <v>7</v>
      </c>
      <c r="R8" s="17">
        <v>8</v>
      </c>
      <c r="S8" s="17">
        <v>9</v>
      </c>
      <c r="T8" s="17">
        <v>10</v>
      </c>
      <c r="U8" s="17">
        <v>11</v>
      </c>
      <c r="V8" s="18">
        <v>12</v>
      </c>
    </row>
    <row r="9" spans="1:22" x14ac:dyDescent="0.25">
      <c r="A9" s="99" t="s">
        <v>50</v>
      </c>
      <c r="B9" s="99" t="s">
        <v>133</v>
      </c>
      <c r="C9" s="100">
        <v>43723</v>
      </c>
      <c r="D9" s="100">
        <v>43882</v>
      </c>
      <c r="E9" s="40" t="str">
        <f>IF(AND(Tableau1[[#This Row],[Date entrée]]&lt;$E$3,Tableau1[[#This Row],[Date sortie]]&gt;$E$3),($E$3-Tableau1[[#This Row],[Date entrée]])/30,"")</f>
        <v/>
      </c>
      <c r="F9" s="40" t="str">
        <f>IF(AND(Tableau1[[#This Row],[Date entrée]]&lt;$F$3,Tableau1[[#This Row],[Date sortie]]&gt;$F$3),($F$3-Tableau1[[#This Row],[Date entrée]])/30,"")</f>
        <v/>
      </c>
      <c r="G9" s="40" t="str">
        <f>IF(AND(Tableau1[[#This Row],[Date entrée]]&lt;$G$3,Tableau1[[#This Row],[Date sortie]]&gt;$G$3),($G$3-Tableau1[[#This Row],[Date entrée]])/30,"")</f>
        <v/>
      </c>
      <c r="H9" s="40" t="str">
        <f>IF(AND(Tableau1[[#This Row],[Date entrée]]&lt;$H$3,Tableau1[[#This Row],[Date sortie]]&gt;$H$3),($H$3-Tableau1[[#This Row],[Date entrée]])/30,"")</f>
        <v/>
      </c>
      <c r="J9" t="s">
        <v>131</v>
      </c>
      <c r="K9">
        <v>1</v>
      </c>
      <c r="L9">
        <v>1</v>
      </c>
      <c r="M9">
        <v>0</v>
      </c>
      <c r="N9">
        <v>0</v>
      </c>
      <c r="O9">
        <v>0</v>
      </c>
    </row>
    <row r="10" spans="1:22" x14ac:dyDescent="0.25">
      <c r="A10" s="99" t="s">
        <v>108</v>
      </c>
      <c r="B10" s="99" t="s">
        <v>133</v>
      </c>
      <c r="C10" s="100">
        <v>43784</v>
      </c>
      <c r="D10" s="100">
        <v>43937</v>
      </c>
      <c r="E10" s="40">
        <f>IF(AND(Tableau1[[#This Row],[Date entrée]]&lt;$E$3,Tableau1[[#This Row],[Date sortie]]&gt;$E$3),($E$3-Tableau1[[#This Row],[Date entrée]])/30,"")</f>
        <v>3.5333333333333332</v>
      </c>
      <c r="F10" s="40">
        <f>IF(AND(Tableau1[[#This Row],[Date entrée]]&lt;$F$3,Tableau1[[#This Row],[Date sortie]]&gt;$F$3),($F$3-Tableau1[[#This Row],[Date entrée]])/30,"")</f>
        <v>4.55</v>
      </c>
      <c r="G10" s="40" t="str">
        <f>IF(AND(Tableau1[[#This Row],[Date entrée]]&lt;$G$3,Tableau1[[#This Row],[Date sortie]]&gt;$G$3),($G$3-Tableau1[[#This Row],[Date entrée]])/30,"")</f>
        <v/>
      </c>
      <c r="H10" s="40" t="str">
        <f>IF(AND(Tableau1[[#This Row],[Date entrée]]&lt;$H$3,Tableau1[[#This Row],[Date sortie]]&gt;$H$3),($H$3-Tableau1[[#This Row],[Date entrée]])/30,"")</f>
        <v/>
      </c>
      <c r="J10" t="s">
        <v>132</v>
      </c>
      <c r="K10">
        <v>3</v>
      </c>
      <c r="L10">
        <v>2</v>
      </c>
      <c r="M10">
        <v>3</v>
      </c>
      <c r="N10">
        <v>3</v>
      </c>
      <c r="O10">
        <v>3</v>
      </c>
    </row>
    <row r="11" spans="1:22" x14ac:dyDescent="0.25">
      <c r="A11" t="s">
        <v>51</v>
      </c>
      <c r="B11" t="s">
        <v>133</v>
      </c>
      <c r="C11" s="39">
        <v>43832</v>
      </c>
      <c r="D11" s="101">
        <v>44104</v>
      </c>
      <c r="E11" s="40">
        <f>IF(AND(Tableau1[[#This Row],[Date entrée]]&lt;$E$3,Tableau1[[#This Row],[Date sortie]]&gt;$E$3),($E$3-Tableau1[[#This Row],[Date entrée]])/30,"")</f>
        <v>1.9333333333333333</v>
      </c>
      <c r="F11" s="40">
        <f>IF(AND(Tableau1[[#This Row],[Date entrée]]&lt;$F$3,Tableau1[[#This Row],[Date sortie]]&gt;$F$3),($F$3-Tableau1[[#This Row],[Date entrée]])/30,"")</f>
        <v>2.95</v>
      </c>
      <c r="G11" s="40">
        <f>IF(AND(Tableau1[[#This Row],[Date entrée]]&lt;$G$3,Tableau1[[#This Row],[Date sortie]]&gt;$G$3),($G$3-Tableau1[[#This Row],[Date entrée]])/30,"")</f>
        <v>3.9666666666666668</v>
      </c>
      <c r="H11" s="40">
        <f>IF(AND(Tableau1[[#This Row],[Date entrée]]&lt;$H$3,Tableau1[[#This Row],[Date sortie]]&gt;$H$3),($H$3-Tableau1[[#This Row],[Date entrée]])/30,"")</f>
        <v>4.9833333333333334</v>
      </c>
      <c r="J11" t="s">
        <v>133</v>
      </c>
      <c r="K11">
        <v>4</v>
      </c>
      <c r="L11">
        <v>2</v>
      </c>
      <c r="M11">
        <v>5</v>
      </c>
      <c r="N11">
        <v>5</v>
      </c>
      <c r="O11">
        <v>6</v>
      </c>
    </row>
    <row r="12" spans="1:22" x14ac:dyDescent="0.25">
      <c r="A12" s="99" t="s">
        <v>54</v>
      </c>
      <c r="B12" s="99" t="s">
        <v>133</v>
      </c>
      <c r="C12" s="100">
        <v>43771</v>
      </c>
      <c r="D12" s="100">
        <v>43868</v>
      </c>
      <c r="E12" s="40" t="str">
        <f>IF(AND(Tableau1[[#This Row],[Date entrée]]&lt;$E$3,Tableau1[[#This Row],[Date sortie]]&gt;$E$3),($E$3-Tableau1[[#This Row],[Date entrée]])/30,"")</f>
        <v/>
      </c>
      <c r="F12" s="40" t="str">
        <f>IF(AND(Tableau1[[#This Row],[Date entrée]]&lt;$F$3,Tableau1[[#This Row],[Date sortie]]&gt;$F$3),($F$3-Tableau1[[#This Row],[Date entrée]])/30,"")</f>
        <v/>
      </c>
      <c r="G12" s="40" t="str">
        <f>IF(AND(Tableau1[[#This Row],[Date entrée]]&lt;$G$3,Tableau1[[#This Row],[Date sortie]]&gt;$G$3),($G$3-Tableau1[[#This Row],[Date entrée]])/30,"")</f>
        <v/>
      </c>
      <c r="H12" s="40" t="str">
        <f>IF(AND(Tableau1[[#This Row],[Date entrée]]&lt;$H$3,Tableau1[[#This Row],[Date sortie]]&gt;$H$3),($H$3-Tableau1[[#This Row],[Date entrée]])/30,"")</f>
        <v/>
      </c>
      <c r="J12" t="s">
        <v>135</v>
      </c>
      <c r="K12">
        <v>0</v>
      </c>
      <c r="L12">
        <v>0</v>
      </c>
      <c r="M12">
        <v>0</v>
      </c>
      <c r="N12">
        <v>0</v>
      </c>
      <c r="O12">
        <v>0</v>
      </c>
    </row>
    <row r="13" spans="1:22" x14ac:dyDescent="0.25">
      <c r="A13" t="s">
        <v>147</v>
      </c>
      <c r="B13" t="s">
        <v>133</v>
      </c>
      <c r="C13" s="39">
        <v>43886</v>
      </c>
      <c r="D13" s="101">
        <v>44243</v>
      </c>
      <c r="E13" s="40">
        <f>IF(AND(Tableau1[[#This Row],[Date entrée]]&lt;$E$3,Tableau1[[#This Row],[Date sortie]]&gt;$E$3),($E$3-Tableau1[[#This Row],[Date entrée]])/30,"")</f>
        <v>0.13333333333333333</v>
      </c>
      <c r="F13" s="40">
        <f>IF(AND(Tableau1[[#This Row],[Date entrée]]&lt;$F$3,Tableau1[[#This Row],[Date sortie]]&gt;$F$3),($F$3-Tableau1[[#This Row],[Date entrée]])/30,"")</f>
        <v>1.1499999999999999</v>
      </c>
      <c r="G13" s="40">
        <f>IF(AND(Tableau1[[#This Row],[Date entrée]]&lt;$G$3,Tableau1[[#This Row],[Date sortie]]&gt;$G$3),($G$3-Tableau1[[#This Row],[Date entrée]])/30,"")</f>
        <v>2.1666666666666665</v>
      </c>
      <c r="H13" s="40">
        <f>IF(AND(Tableau1[[#This Row],[Date entrée]]&lt;$H$3,Tableau1[[#This Row],[Date sortie]]&gt;$H$3),($H$3-Tableau1[[#This Row],[Date entrée]])/30,"")</f>
        <v>3.1833333333333331</v>
      </c>
      <c r="J13" t="s">
        <v>134</v>
      </c>
      <c r="K13">
        <v>0</v>
      </c>
      <c r="L13">
        <v>1</v>
      </c>
      <c r="M13">
        <v>0</v>
      </c>
      <c r="N13">
        <v>0</v>
      </c>
      <c r="O13">
        <v>0</v>
      </c>
    </row>
    <row r="14" spans="1:22" x14ac:dyDescent="0.25">
      <c r="A14" t="s">
        <v>52</v>
      </c>
      <c r="B14" t="s">
        <v>132</v>
      </c>
      <c r="C14" s="39">
        <v>43892</v>
      </c>
      <c r="D14" s="101">
        <v>44013</v>
      </c>
      <c r="E14" s="40" t="str">
        <f>IF(AND(Tableau1[[#This Row],[Date entrée]]&lt;$E$3,Tableau1[[#This Row],[Date sortie]]&gt;$E$3),($E$3-Tableau1[[#This Row],[Date entrée]])/30,"")</f>
        <v/>
      </c>
      <c r="F14" s="40">
        <f>IF(AND(Tableau1[[#This Row],[Date entrée]]&lt;$F$3,Tableau1[[#This Row],[Date sortie]]&gt;$F$3),($F$3-Tableau1[[#This Row],[Date entrée]])/30,"")</f>
        <v>0.95</v>
      </c>
      <c r="G14" s="40">
        <f>IF(AND(Tableau1[[#This Row],[Date entrée]]&lt;$G$3,Tableau1[[#This Row],[Date sortie]]&gt;$G$3),($G$3-Tableau1[[#This Row],[Date entrée]])/30,"")</f>
        <v>1.9666666666666666</v>
      </c>
      <c r="H14" s="40">
        <f>IF(AND(Tableau1[[#This Row],[Date entrée]]&lt;$H$3,Tableau1[[#This Row],[Date sortie]]&gt;$H$3),($H$3-Tableau1[[#This Row],[Date entrée]])/30,"")</f>
        <v>2.9833333333333334</v>
      </c>
    </row>
    <row r="15" spans="1:22" x14ac:dyDescent="0.25">
      <c r="A15" t="s">
        <v>148</v>
      </c>
      <c r="B15" t="s">
        <v>133</v>
      </c>
      <c r="C15" s="39">
        <v>43864</v>
      </c>
      <c r="D15" s="101">
        <v>44227</v>
      </c>
      <c r="E15" s="40">
        <f>IF(AND(Tableau1[[#This Row],[Date entrée]]&lt;$E$3,Tableau1[[#This Row],[Date sortie]]&gt;$E$3),($E$3-Tableau1[[#This Row],[Date entrée]])/30,"")</f>
        <v>0.8666666666666667</v>
      </c>
      <c r="F15" s="40">
        <f>IF(AND(Tableau1[[#This Row],[Date entrée]]&lt;$F$3,Tableau1[[#This Row],[Date sortie]]&gt;$F$3),($F$3-Tableau1[[#This Row],[Date entrée]])/30,"")</f>
        <v>1.8833333333333333</v>
      </c>
      <c r="G15" s="40">
        <f>IF(AND(Tableau1[[#This Row],[Date entrée]]&lt;$G$3,Tableau1[[#This Row],[Date sortie]]&gt;$G$3),($G$3-Tableau1[[#This Row],[Date entrée]])/30,"")</f>
        <v>2.9</v>
      </c>
      <c r="H15" s="40">
        <f>IF(AND(Tableau1[[#This Row],[Date entrée]]&lt;$H$3,Tableau1[[#This Row],[Date sortie]]&gt;$H$3),($H$3-Tableau1[[#This Row],[Date entrée]])/30,"")</f>
        <v>3.9166666666666665</v>
      </c>
    </row>
    <row r="16" spans="1:22" x14ac:dyDescent="0.25">
      <c r="A16" t="s">
        <v>149</v>
      </c>
      <c r="B16" t="s">
        <v>133</v>
      </c>
      <c r="C16" s="39">
        <v>43886</v>
      </c>
      <c r="D16" s="101">
        <v>44250</v>
      </c>
      <c r="E16" s="40">
        <f>IF(AND(Tableau1[[#This Row],[Date entrée]]&lt;$E$3,Tableau1[[#This Row],[Date sortie]]&gt;$E$3),($E$3-Tableau1[[#This Row],[Date entrée]])/30,"")</f>
        <v>0.13333333333333333</v>
      </c>
      <c r="F16" s="40">
        <f>IF(AND(Tableau1[[#This Row],[Date entrée]]&lt;$F$3,Tableau1[[#This Row],[Date sortie]]&gt;$F$3),($F$3-Tableau1[[#This Row],[Date entrée]])/30,"")</f>
        <v>1.1499999999999999</v>
      </c>
      <c r="G16" s="40">
        <f>IF(AND(Tableau1[[#This Row],[Date entrée]]&lt;$G$3,Tableau1[[#This Row],[Date sortie]]&gt;$G$3),($G$3-Tableau1[[#This Row],[Date entrée]])/30,"")</f>
        <v>2.1666666666666665</v>
      </c>
      <c r="H16" s="40">
        <f>IF(AND(Tableau1[[#This Row],[Date entrée]]&lt;$H$3,Tableau1[[#This Row],[Date sortie]]&gt;$H$3),($H$3-Tableau1[[#This Row],[Date entrée]])/30,"")</f>
        <v>3.1833333333333331</v>
      </c>
    </row>
    <row r="17" spans="1:8" x14ac:dyDescent="0.25">
      <c r="A17" t="s">
        <v>109</v>
      </c>
      <c r="B17" t="s">
        <v>132</v>
      </c>
      <c r="C17" s="39">
        <v>43892</v>
      </c>
      <c r="D17" s="101">
        <v>44135</v>
      </c>
      <c r="E17" s="40" t="str">
        <f>IF(AND(Tableau1[[#This Row],[Date entrée]]&lt;$E$3,Tableau1[[#This Row],[Date sortie]]&gt;$E$3),($E$3-Tableau1[[#This Row],[Date entrée]])/30,"")</f>
        <v/>
      </c>
      <c r="F17" s="40">
        <f>IF(AND(Tableau1[[#This Row],[Date entrée]]&lt;$F$3,Tableau1[[#This Row],[Date sortie]]&gt;$F$3),($F$3-Tableau1[[#This Row],[Date entrée]])/30,"")</f>
        <v>0.95</v>
      </c>
      <c r="G17" s="40">
        <f>IF(AND(Tableau1[[#This Row],[Date entrée]]&lt;$G$3,Tableau1[[#This Row],[Date sortie]]&gt;$G$3),($G$3-Tableau1[[#This Row],[Date entrée]])/30,"")</f>
        <v>1.9666666666666666</v>
      </c>
      <c r="H17" s="40">
        <f>IF(AND(Tableau1[[#This Row],[Date entrée]]&lt;$H$3,Tableau1[[#This Row],[Date sortie]]&gt;$H$3),($H$3-Tableau1[[#This Row],[Date entrée]])/30,"")</f>
        <v>2.9833333333333334</v>
      </c>
    </row>
    <row r="18" spans="1:8" x14ac:dyDescent="0.25">
      <c r="A18" t="s">
        <v>175</v>
      </c>
      <c r="B18" t="s">
        <v>133</v>
      </c>
      <c r="C18" s="39">
        <v>43952</v>
      </c>
      <c r="D18" s="101">
        <v>44135</v>
      </c>
      <c r="E18" s="40" t="str">
        <f>IF(AND(Tableau1[[#This Row],[Date entrée]]&lt;$E$3,Tableau1[[#This Row],[Date sortie]]&gt;$E$3),($E$3-Tableau1[[#This Row],[Date entrée]])/30,"")</f>
        <v/>
      </c>
      <c r="F18" s="40" t="str">
        <f>IF(AND(Tableau1[[#This Row],[Date entrée]]&lt;$F$3,Tableau1[[#This Row],[Date sortie]]&gt;$F$3),($F$3-Tableau1[[#This Row],[Date entrée]])/30,"")</f>
        <v/>
      </c>
      <c r="G18" s="40" t="str">
        <f>IF(AND(Tableau1[[#This Row],[Date entrée]]&lt;$G$3,Tableau1[[#This Row],[Date sortie]]&gt;$G$3),($G$3-Tableau1[[#This Row],[Date entrée]])/30,"")</f>
        <v/>
      </c>
      <c r="H18" s="40">
        <f>IF(AND(Tableau1[[#This Row],[Date entrée]]&lt;$H$3,Tableau1[[#This Row],[Date sortie]]&gt;$H$3),($H$3-Tableau1[[#This Row],[Date entrée]])/30,"")</f>
        <v>0.98333333333333328</v>
      </c>
    </row>
    <row r="19" spans="1:8" x14ac:dyDescent="0.25">
      <c r="A19" t="s">
        <v>176</v>
      </c>
      <c r="B19" t="s">
        <v>133</v>
      </c>
      <c r="C19" s="39">
        <v>43951</v>
      </c>
      <c r="D19" s="101">
        <v>44135</v>
      </c>
      <c r="E19" s="40" t="str">
        <f>IF(AND(Tableau1[[#This Row],[Date entrée]]&lt;$E$3,Tableau1[[#This Row],[Date sortie]]&gt;$E$3),($E$3-Tableau1[[#This Row],[Date entrée]])/30,"")</f>
        <v/>
      </c>
      <c r="F19" s="40" t="str">
        <f>IF(AND(Tableau1[[#This Row],[Date entrée]]&lt;$F$3,Tableau1[[#This Row],[Date sortie]]&gt;$F$3),($F$3-Tableau1[[#This Row],[Date entrée]])/30,"")</f>
        <v/>
      </c>
      <c r="G19" s="40" t="str">
        <f>IF(AND(Tableau1[[#This Row],[Date entrée]]&lt;$G$3,Tableau1[[#This Row],[Date sortie]]&gt;$G$3),($G$3-Tableau1[[#This Row],[Date entrée]])/30,"")</f>
        <v/>
      </c>
      <c r="H19" s="40">
        <f>IF(AND(Tableau1[[#This Row],[Date entrée]]&lt;$H$3,Tableau1[[#This Row],[Date sortie]]&gt;$H$3),($H$3-Tableau1[[#This Row],[Date entrée]])/30,"")</f>
        <v>1.0166666666666666</v>
      </c>
    </row>
    <row r="20" spans="1:8" x14ac:dyDescent="0.25">
      <c r="A20" t="s">
        <v>181</v>
      </c>
      <c r="B20" t="s">
        <v>134</v>
      </c>
      <c r="C20" s="39">
        <v>43983</v>
      </c>
      <c r="D20" s="101">
        <v>44012</v>
      </c>
      <c r="E20" s="40" t="str">
        <f>IF(AND(Tableau1[[#This Row],[Date entrée]]&lt;$E$3,Tableau1[[#This Row],[Date sortie]]&gt;$E$3),($E$3-Tableau1[[#This Row],[Date entrée]])/30,"")</f>
        <v/>
      </c>
      <c r="F20" s="40" t="str">
        <f>IF(AND(Tableau1[[#This Row],[Date entrée]]&lt;$F$3,Tableau1[[#This Row],[Date sortie]]&gt;$F$3),($F$3-Tableau1[[#This Row],[Date entrée]])/30,"")</f>
        <v/>
      </c>
      <c r="G20" s="40" t="str">
        <f>IF(AND(Tableau1[[#This Row],[Date entrée]]&lt;$G$3,Tableau1[[#This Row],[Date sortie]]&gt;$G$3),($G$3-Tableau1[[#This Row],[Date entrée]])/30,"")</f>
        <v/>
      </c>
      <c r="H20" s="40" t="str">
        <f>IF(AND(Tableau1[[#This Row],[Date entrée]]&lt;$H$3,Tableau1[[#This Row],[Date sortie]]&gt;$H$3),($H$3-Tableau1[[#This Row],[Date entrée]])/30,"")</f>
        <v/>
      </c>
    </row>
    <row r="21" spans="1:8" x14ac:dyDescent="0.25">
      <c r="C21" t="s">
        <v>53</v>
      </c>
      <c r="E21" s="41">
        <f>SUBTOTAL(101,Tableau1[AGE mois M])</f>
        <v>3.1</v>
      </c>
      <c r="F21" s="41">
        <f>SUBTOTAL(101,Tableau1[AGE M+1])</f>
        <v>2.395833333333333</v>
      </c>
      <c r="G21" s="60">
        <f>SUBTOTAL(101,Tableau1[AGE M+2])</f>
        <v>3.1047619047619044</v>
      </c>
      <c r="H21" s="60">
        <f>SUBTOTAL(101,Tableau1[AGE M+3])</f>
        <v>3.427777777777778</v>
      </c>
    </row>
  </sheetData>
  <phoneticPr fontId="13" type="noConversion"/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986B-A4D6-4A98-8053-7816443F5D62}">
  <sheetPr>
    <tabColor rgb="FFEE7800"/>
  </sheetPr>
  <dimension ref="A1:C17"/>
  <sheetViews>
    <sheetView workbookViewId="0">
      <selection activeCell="B18" sqref="B18"/>
    </sheetView>
  </sheetViews>
  <sheetFormatPr baseColWidth="10" defaultRowHeight="15" x14ac:dyDescent="0.25"/>
  <cols>
    <col min="1" max="1" width="27.7109375" bestFit="1" customWidth="1"/>
    <col min="2" max="2" width="13" bestFit="1" customWidth="1"/>
    <col min="3" max="3" width="14" bestFit="1" customWidth="1"/>
  </cols>
  <sheetData>
    <row r="1" spans="1:3" x14ac:dyDescent="0.25">
      <c r="A1" s="44" t="s">
        <v>42</v>
      </c>
      <c r="B1" t="s">
        <v>85</v>
      </c>
    </row>
    <row r="3" spans="1:3" x14ac:dyDescent="0.25">
      <c r="A3" s="44" t="s">
        <v>88</v>
      </c>
      <c r="B3" t="s">
        <v>98</v>
      </c>
      <c r="C3" t="s">
        <v>127</v>
      </c>
    </row>
    <row r="4" spans="1:3" x14ac:dyDescent="0.25">
      <c r="A4" s="45" t="s">
        <v>66</v>
      </c>
      <c r="B4" s="43">
        <v>16.5</v>
      </c>
      <c r="C4" s="87">
        <v>0.20155379654060393</v>
      </c>
    </row>
    <row r="5" spans="1:3" x14ac:dyDescent="0.25">
      <c r="A5" s="45" t="s">
        <v>206</v>
      </c>
      <c r="B5" s="43">
        <v>13.85</v>
      </c>
      <c r="C5" s="87">
        <v>0.16918303527802206</v>
      </c>
    </row>
    <row r="6" spans="1:3" x14ac:dyDescent="0.25">
      <c r="A6" s="45" t="s">
        <v>200</v>
      </c>
      <c r="B6" s="43">
        <v>10</v>
      </c>
      <c r="C6" s="87">
        <v>0.1221538160852145</v>
      </c>
    </row>
    <row r="7" spans="1:3" x14ac:dyDescent="0.25">
      <c r="A7" s="45" t="s">
        <v>77</v>
      </c>
      <c r="B7" s="43">
        <v>10</v>
      </c>
      <c r="C7" s="87">
        <v>0.1221538160852145</v>
      </c>
    </row>
    <row r="8" spans="1:3" x14ac:dyDescent="0.25">
      <c r="A8" s="45" t="s">
        <v>69</v>
      </c>
      <c r="B8" s="43">
        <v>10</v>
      </c>
      <c r="C8" s="87">
        <v>0.1221538160852145</v>
      </c>
    </row>
    <row r="9" spans="1:3" x14ac:dyDescent="0.25">
      <c r="A9" s="45" t="s">
        <v>75</v>
      </c>
      <c r="B9" s="43">
        <v>6.7</v>
      </c>
      <c r="C9" s="87">
        <v>8.184305677709372E-2</v>
      </c>
    </row>
    <row r="10" spans="1:3" x14ac:dyDescent="0.25">
      <c r="A10" s="45" t="s">
        <v>195</v>
      </c>
      <c r="B10" s="43">
        <v>6</v>
      </c>
      <c r="C10" s="87">
        <v>7.3292289651128703E-2</v>
      </c>
    </row>
    <row r="11" spans="1:3" x14ac:dyDescent="0.25">
      <c r="A11" s="45" t="s">
        <v>74</v>
      </c>
      <c r="B11" s="43">
        <v>3</v>
      </c>
      <c r="C11" s="87">
        <v>3.6646144825564352E-2</v>
      </c>
    </row>
    <row r="12" spans="1:3" x14ac:dyDescent="0.25">
      <c r="A12" s="45" t="s">
        <v>209</v>
      </c>
      <c r="B12" s="43">
        <v>2.5</v>
      </c>
      <c r="C12" s="87">
        <v>3.0538454021303625E-2</v>
      </c>
    </row>
    <row r="13" spans="1:3" x14ac:dyDescent="0.25">
      <c r="A13" s="45" t="s">
        <v>153</v>
      </c>
      <c r="B13" s="43">
        <v>1.0640000000000001</v>
      </c>
      <c r="C13" s="87">
        <v>1.2997166031466823E-2</v>
      </c>
    </row>
    <row r="14" spans="1:3" x14ac:dyDescent="0.25">
      <c r="A14" s="45" t="s">
        <v>197</v>
      </c>
      <c r="B14" s="43">
        <v>1</v>
      </c>
      <c r="C14" s="87">
        <v>1.2215381608521449E-2</v>
      </c>
    </row>
    <row r="15" spans="1:3" x14ac:dyDescent="0.25">
      <c r="A15" s="45" t="s">
        <v>73</v>
      </c>
      <c r="B15" s="43">
        <v>1</v>
      </c>
      <c r="C15" s="87">
        <v>1.2215381608521449E-2</v>
      </c>
    </row>
    <row r="16" spans="1:3" x14ac:dyDescent="0.25">
      <c r="A16" s="45" t="s">
        <v>160</v>
      </c>
      <c r="B16" s="43">
        <v>0.25</v>
      </c>
      <c r="C16" s="87">
        <v>3.0538454021303623E-3</v>
      </c>
    </row>
    <row r="17" spans="1:3" x14ac:dyDescent="0.25">
      <c r="A17" s="45" t="s">
        <v>87</v>
      </c>
      <c r="B17" s="43">
        <v>81.864000000000004</v>
      </c>
      <c r="C17" s="87">
        <v>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DE8C9-5321-48DA-9B4B-77F9CA273337}">
  <sheetPr>
    <tabColor rgb="FFEE7800"/>
  </sheetPr>
  <dimension ref="A1:AA50"/>
  <sheetViews>
    <sheetView topLeftCell="A17" workbookViewId="0">
      <selection activeCell="I42" sqref="I42"/>
    </sheetView>
  </sheetViews>
  <sheetFormatPr baseColWidth="10" defaultRowHeight="15" x14ac:dyDescent="0.25"/>
  <cols>
    <col min="1" max="1" width="39.7109375" style="46" customWidth="1"/>
    <col min="2" max="2" width="19.28515625" style="46" bestFit="1" customWidth="1"/>
    <col min="3" max="3" width="11" style="47" bestFit="1" customWidth="1"/>
    <col min="4" max="4" width="11.85546875" style="47" bestFit="1" customWidth="1"/>
    <col min="5" max="5" width="8.5703125" style="47" bestFit="1" customWidth="1"/>
    <col min="6" max="6" width="14" style="47" bestFit="1" customWidth="1"/>
    <col min="7" max="7" width="13.5703125" style="46" customWidth="1"/>
    <col min="8" max="8" width="5.42578125" style="46" bestFit="1" customWidth="1"/>
    <col min="10" max="10" width="10.7109375" bestFit="1" customWidth="1"/>
    <col min="11" max="11" width="5.85546875" customWidth="1"/>
    <col min="12" max="13" width="2.5703125" customWidth="1"/>
    <col min="14" max="14" width="21" bestFit="1" customWidth="1"/>
    <col min="15" max="15" width="23.85546875" bestFit="1" customWidth="1"/>
    <col min="16" max="16" width="7" bestFit="1" customWidth="1"/>
    <col min="17" max="20" width="8" bestFit="1" customWidth="1"/>
    <col min="21" max="26" width="12" bestFit="1" customWidth="1"/>
    <col min="27" max="28" width="12.5703125" bestFit="1" customWidth="1"/>
  </cols>
  <sheetData>
    <row r="1" spans="1:27" ht="30" x14ac:dyDescent="0.25">
      <c r="A1" s="46" t="s">
        <v>45</v>
      </c>
      <c r="B1" s="46" t="s">
        <v>114</v>
      </c>
      <c r="C1" s="102" t="s">
        <v>155</v>
      </c>
      <c r="D1" s="47" t="s">
        <v>117</v>
      </c>
      <c r="E1" s="47" t="s">
        <v>118</v>
      </c>
      <c r="F1" s="47" t="s">
        <v>119</v>
      </c>
      <c r="G1" s="46" t="s">
        <v>80</v>
      </c>
      <c r="H1" s="46" t="s">
        <v>97</v>
      </c>
      <c r="I1" t="s">
        <v>42</v>
      </c>
      <c r="J1" t="s">
        <v>81</v>
      </c>
      <c r="N1" s="44" t="s">
        <v>98</v>
      </c>
      <c r="O1" s="44" t="s">
        <v>86</v>
      </c>
    </row>
    <row r="2" spans="1:27" x14ac:dyDescent="0.25">
      <c r="A2" s="103" t="s">
        <v>63</v>
      </c>
      <c r="B2" s="103" t="s">
        <v>115</v>
      </c>
      <c r="C2" s="104">
        <f>300000*16/18</f>
        <v>266666.66666666669</v>
      </c>
      <c r="D2" s="104">
        <f>Tableau2[[#This Row],[Collecte
2020]]-Tableau2[[#This Row],[FS CAM FR]]-Tableau2[[#This Row],[MSF]]</f>
        <v>190000</v>
      </c>
      <c r="E2" s="104">
        <v>0</v>
      </c>
      <c r="F2" s="104">
        <f>10%*Tableau2[[#This Row],[Collecte
2020]]+50000</f>
        <v>76666.666666666672</v>
      </c>
      <c r="G2" s="105">
        <v>0.75</v>
      </c>
      <c r="H2" s="106">
        <f>Tableau2[[#This Row],[Collecte
2020]]/1000</f>
        <v>266.66666666666669</v>
      </c>
      <c r="I2" s="107" t="s">
        <v>82</v>
      </c>
      <c r="J2" s="108">
        <v>44013</v>
      </c>
      <c r="O2" t="s">
        <v>211</v>
      </c>
      <c r="P2" t="s">
        <v>152</v>
      </c>
      <c r="Q2" t="s">
        <v>154</v>
      </c>
      <c r="R2" t="s">
        <v>89</v>
      </c>
      <c r="S2" t="s">
        <v>90</v>
      </c>
      <c r="T2" t="s">
        <v>91</v>
      </c>
      <c r="U2" t="s">
        <v>92</v>
      </c>
      <c r="V2" t="s">
        <v>99</v>
      </c>
      <c r="W2" t="s">
        <v>93</v>
      </c>
      <c r="X2" t="s">
        <v>94</v>
      </c>
      <c r="Y2" t="s">
        <v>95</v>
      </c>
      <c r="Z2" t="s">
        <v>96</v>
      </c>
      <c r="AA2" t="s">
        <v>87</v>
      </c>
    </row>
    <row r="3" spans="1:27" x14ac:dyDescent="0.25">
      <c r="A3" s="103" t="s">
        <v>197</v>
      </c>
      <c r="B3" s="103" t="s">
        <v>198</v>
      </c>
      <c r="C3" s="104">
        <v>1000</v>
      </c>
      <c r="D3" s="104">
        <f>Tableau2[[#This Row],[Collecte
2020]]-Tableau2[[#This Row],[FS CAM FR]]-Tableau2[[#This Row],[MSF]]</f>
        <v>1000</v>
      </c>
      <c r="E3" s="104"/>
      <c r="F3" s="104"/>
      <c r="G3" s="105"/>
      <c r="H3" s="106">
        <f>Tableau2[[#This Row],[Collecte
2020]]/1000</f>
        <v>1</v>
      </c>
      <c r="I3" s="107" t="s">
        <v>85</v>
      </c>
      <c r="J3" s="108">
        <v>44043</v>
      </c>
      <c r="N3" s="44" t="s">
        <v>88</v>
      </c>
    </row>
    <row r="4" spans="1:27" x14ac:dyDescent="0.25">
      <c r="A4" s="103" t="s">
        <v>66</v>
      </c>
      <c r="B4" s="103"/>
      <c r="C4" s="104">
        <v>10000</v>
      </c>
      <c r="D4" s="104"/>
      <c r="E4" s="104"/>
      <c r="F4" s="104">
        <v>10000</v>
      </c>
      <c r="G4" s="105">
        <v>1</v>
      </c>
      <c r="H4" s="106">
        <f>Tableau2[[#This Row],[Collecte
2020]]/1000</f>
        <v>10</v>
      </c>
      <c r="I4" s="107" t="s">
        <v>163</v>
      </c>
      <c r="J4" s="108">
        <v>43916</v>
      </c>
      <c r="N4" s="45" t="s">
        <v>85</v>
      </c>
      <c r="O4" s="43">
        <v>0</v>
      </c>
      <c r="P4" s="43">
        <v>9.5</v>
      </c>
      <c r="Q4" s="43">
        <v>10.564</v>
      </c>
      <c r="R4" s="43">
        <v>38.814</v>
      </c>
      <c r="S4" s="43">
        <v>56.864000000000004</v>
      </c>
      <c r="T4" s="43">
        <v>80.864000000000004</v>
      </c>
      <c r="U4" s="43">
        <v>81.864000000000004</v>
      </c>
      <c r="V4" s="43">
        <v>81.864000000000004</v>
      </c>
      <c r="W4" s="43">
        <v>81.864000000000004</v>
      </c>
      <c r="X4" s="43">
        <v>81.864000000000004</v>
      </c>
      <c r="Y4" s="43">
        <v>81.864000000000004</v>
      </c>
      <c r="Z4" s="43">
        <v>81.864000000000004</v>
      </c>
      <c r="AA4" s="43"/>
    </row>
    <row r="5" spans="1:27" x14ac:dyDescent="0.25">
      <c r="A5" s="103" t="s">
        <v>66</v>
      </c>
      <c r="B5" s="103" t="s">
        <v>194</v>
      </c>
      <c r="C5" s="104">
        <v>15000</v>
      </c>
      <c r="D5" s="104"/>
      <c r="E5" s="104"/>
      <c r="F5" s="104">
        <f ca="1">Tableau2[[#This Row],[Collecte
2020]]-Tableau2[[#This Row],[FS CAM FR]]-Tableau2[[#This Row],[MSF]]</f>
        <v>15000</v>
      </c>
      <c r="G5" s="105">
        <v>1</v>
      </c>
      <c r="H5" s="106">
        <f>Tableau2[[#This Row],[Collecte
2020]]/1000</f>
        <v>15</v>
      </c>
      <c r="I5" s="107" t="s">
        <v>85</v>
      </c>
      <c r="J5" s="108">
        <v>43916</v>
      </c>
      <c r="N5" s="45" t="s">
        <v>82</v>
      </c>
      <c r="O5" s="43">
        <v>135</v>
      </c>
      <c r="P5" s="43">
        <v>135</v>
      </c>
      <c r="Q5" s="43">
        <v>135</v>
      </c>
      <c r="R5" s="43">
        <v>135</v>
      </c>
      <c r="S5" s="43">
        <v>135</v>
      </c>
      <c r="T5" s="43">
        <v>135</v>
      </c>
      <c r="U5" s="43">
        <v>404.66666666666669</v>
      </c>
      <c r="V5" s="43">
        <v>604.66666666666652</v>
      </c>
      <c r="W5" s="43">
        <v>604.66666666666652</v>
      </c>
      <c r="X5" s="43">
        <v>604.66666666666652</v>
      </c>
      <c r="Y5" s="43">
        <v>604.66666666666652</v>
      </c>
      <c r="Z5" s="43">
        <v>604.66666666666652</v>
      </c>
      <c r="AA5" s="43"/>
    </row>
    <row r="6" spans="1:27" x14ac:dyDescent="0.25">
      <c r="A6" s="103" t="s">
        <v>66</v>
      </c>
      <c r="B6" s="103" t="s">
        <v>193</v>
      </c>
      <c r="C6" s="104">
        <v>1500</v>
      </c>
      <c r="D6" s="104"/>
      <c r="E6" s="104"/>
      <c r="F6" s="104">
        <f ca="1">Tableau2[[#This Row],[Collecte
2020]]-Tableau2[[#This Row],[FS CAM FR]]-Tableau2[[#This Row],[MSF]]</f>
        <v>1500</v>
      </c>
      <c r="G6" s="105">
        <v>1</v>
      </c>
      <c r="H6" s="106">
        <f>Tableau2[[#This Row],[Collecte
2020]]/1000</f>
        <v>1.5</v>
      </c>
      <c r="I6" s="107" t="s">
        <v>85</v>
      </c>
      <c r="J6" s="108">
        <v>43917</v>
      </c>
      <c r="N6" s="45" t="s">
        <v>188</v>
      </c>
      <c r="O6" s="43">
        <v>9.5500000000000007</v>
      </c>
      <c r="P6" s="43">
        <v>9.5500000000000007</v>
      </c>
      <c r="Q6" s="43">
        <v>9.5500000000000007</v>
      </c>
      <c r="R6" s="43">
        <v>19.55</v>
      </c>
      <c r="S6" s="43">
        <v>19.55</v>
      </c>
      <c r="T6" s="43">
        <v>19.55</v>
      </c>
      <c r="U6" s="43">
        <v>29.55</v>
      </c>
      <c r="V6" s="43">
        <v>32.549999999999997</v>
      </c>
      <c r="W6" s="43">
        <v>196.35000000000002</v>
      </c>
      <c r="X6" s="43">
        <v>239.35000000000002</v>
      </c>
      <c r="Y6" s="43">
        <v>239.35000000000002</v>
      </c>
      <c r="Z6" s="43">
        <v>350.35</v>
      </c>
      <c r="AA6" s="43"/>
    </row>
    <row r="7" spans="1:27" x14ac:dyDescent="0.25">
      <c r="A7" s="103" t="s">
        <v>195</v>
      </c>
      <c r="B7" s="103"/>
      <c r="C7" s="109">
        <v>6000</v>
      </c>
      <c r="D7" s="109"/>
      <c r="E7" s="109"/>
      <c r="F7" s="109">
        <v>6000</v>
      </c>
      <c r="G7" s="103"/>
      <c r="H7" s="106">
        <f>Tableau2[[#This Row],[Collecte
2020]]/1000</f>
        <v>6</v>
      </c>
      <c r="I7" s="107" t="s">
        <v>85</v>
      </c>
      <c r="J7" s="108">
        <v>43850</v>
      </c>
      <c r="N7" s="45" t="s">
        <v>189</v>
      </c>
      <c r="O7" s="43">
        <v>0</v>
      </c>
      <c r="P7" s="43">
        <v>28</v>
      </c>
      <c r="Q7" s="43">
        <v>28</v>
      </c>
      <c r="R7" s="43">
        <v>28</v>
      </c>
      <c r="S7" s="43">
        <v>28</v>
      </c>
      <c r="T7" s="43">
        <v>53</v>
      </c>
      <c r="U7" s="43">
        <v>53</v>
      </c>
      <c r="V7" s="43">
        <v>53</v>
      </c>
      <c r="W7" s="43">
        <v>53</v>
      </c>
      <c r="X7" s="43">
        <v>53</v>
      </c>
      <c r="Y7" s="43">
        <v>66.5</v>
      </c>
      <c r="Z7" s="43">
        <v>66.5</v>
      </c>
      <c r="AA7" s="43"/>
    </row>
    <row r="8" spans="1:27" x14ac:dyDescent="0.25">
      <c r="A8" s="103" t="s">
        <v>65</v>
      </c>
      <c r="B8" s="103"/>
      <c r="C8" s="104">
        <v>10000</v>
      </c>
      <c r="D8" s="104">
        <f>Tableau2[[#This Row],[Collecte
2020]]-Tableau2[[#This Row],[FS CAM FR]]-Tableau2[[#This Row],[MSF]]</f>
        <v>0</v>
      </c>
      <c r="E8" s="104"/>
      <c r="F8" s="104">
        <f>Tableau2[[#This Row],[Collecte
2020]]</f>
        <v>10000</v>
      </c>
      <c r="G8" s="105"/>
      <c r="H8" s="106">
        <f>Tableau2[[#This Row],[Collecte
2020]]/1000</f>
        <v>10</v>
      </c>
      <c r="I8" s="107" t="s">
        <v>163</v>
      </c>
      <c r="J8" s="108">
        <v>44105</v>
      </c>
      <c r="N8" s="45" t="s">
        <v>162</v>
      </c>
      <c r="O8" s="43">
        <v>0</v>
      </c>
      <c r="P8" s="43">
        <v>0</v>
      </c>
      <c r="Q8" s="43">
        <v>0</v>
      </c>
      <c r="R8" s="43">
        <v>10</v>
      </c>
      <c r="S8" s="43">
        <v>10</v>
      </c>
      <c r="T8" s="43">
        <v>10</v>
      </c>
      <c r="U8" s="43">
        <v>31.75</v>
      </c>
      <c r="V8" s="43">
        <v>31.75</v>
      </c>
      <c r="W8" s="43">
        <v>31.75</v>
      </c>
      <c r="X8" s="43">
        <v>31.75</v>
      </c>
      <c r="Y8" s="43">
        <v>31.75</v>
      </c>
      <c r="Z8" s="43">
        <v>31.75</v>
      </c>
      <c r="AA8" s="43"/>
    </row>
    <row r="9" spans="1:27" x14ac:dyDescent="0.25">
      <c r="A9" s="103" t="s">
        <v>64</v>
      </c>
      <c r="B9" s="112" t="s">
        <v>182</v>
      </c>
      <c r="C9" s="104">
        <f>300000*0.333333333333333</f>
        <v>99999.999999999898</v>
      </c>
      <c r="D9" s="104">
        <f>Tableau2[[#This Row],[Collecte
2020]]-Tableau2[[#This Row],[FS CAM FR]]-Tableau2[[#This Row],[MSF]]</f>
        <v>99999.999999999898</v>
      </c>
      <c r="E9" s="104"/>
      <c r="F9" s="104"/>
      <c r="G9" s="105">
        <v>0.5</v>
      </c>
      <c r="H9" s="106">
        <f>Tableau2[[#This Row],[Collecte
2020]]/1000</f>
        <v>99.999999999999901</v>
      </c>
      <c r="I9" s="107" t="s">
        <v>82</v>
      </c>
      <c r="J9" s="108">
        <v>44044</v>
      </c>
      <c r="N9" s="45" t="s">
        <v>87</v>
      </c>
      <c r="O9" s="43">
        <v>144.55000000000001</v>
      </c>
      <c r="P9" s="43">
        <v>182.05</v>
      </c>
      <c r="Q9" s="43">
        <v>183.114</v>
      </c>
      <c r="R9" s="43">
        <v>231.364</v>
      </c>
      <c r="S9" s="43">
        <v>249.41400000000002</v>
      </c>
      <c r="T9" s="43">
        <v>298.41399999999999</v>
      </c>
      <c r="U9" s="43">
        <v>600.83066666666673</v>
      </c>
      <c r="V9" s="43">
        <v>803.8306666666665</v>
      </c>
      <c r="W9" s="43">
        <v>967.63066666666646</v>
      </c>
      <c r="X9" s="43">
        <v>1010.6306666666665</v>
      </c>
      <c r="Y9" s="43">
        <v>1024.1306666666665</v>
      </c>
      <c r="Z9" s="43">
        <v>1135.1306666666665</v>
      </c>
      <c r="AA9" s="43"/>
    </row>
    <row r="10" spans="1:27" x14ac:dyDescent="0.25">
      <c r="A10" s="103" t="s">
        <v>64</v>
      </c>
      <c r="B10" s="112" t="s">
        <v>186</v>
      </c>
      <c r="C10" s="104">
        <f>300000*0.333333333333333</f>
        <v>99999.999999999898</v>
      </c>
      <c r="D10" s="104">
        <f>Tableau2[[#This Row],[Collecte
2020]]-Tableau2[[#This Row],[FS CAM FR]]-Tableau2[[#This Row],[MSF]]</f>
        <v>99999.999999999898</v>
      </c>
      <c r="E10" s="104"/>
      <c r="F10" s="104"/>
      <c r="G10" s="105">
        <v>0.5</v>
      </c>
      <c r="H10" s="106">
        <f>Tableau2[[#This Row],[Collecte
2020]]/1000</f>
        <v>99.999999999999901</v>
      </c>
      <c r="I10" s="107" t="s">
        <v>82</v>
      </c>
      <c r="J10" s="108">
        <v>44044</v>
      </c>
    </row>
    <row r="11" spans="1:27" x14ac:dyDescent="0.25">
      <c r="A11" s="103" t="s">
        <v>209</v>
      </c>
      <c r="B11" s="103" t="s">
        <v>210</v>
      </c>
      <c r="C11" s="104">
        <v>2500</v>
      </c>
      <c r="D11" s="104">
        <v>2500</v>
      </c>
      <c r="E11" s="104"/>
      <c r="F11" s="104"/>
      <c r="G11" s="105">
        <v>1</v>
      </c>
      <c r="H11" s="106">
        <f>Tableau2[[#This Row],[Collecte
2020]]/1000</f>
        <v>2.5</v>
      </c>
      <c r="I11" s="107" t="s">
        <v>85</v>
      </c>
      <c r="J11" s="108">
        <v>43857</v>
      </c>
    </row>
    <row r="12" spans="1:27" x14ac:dyDescent="0.25">
      <c r="A12" s="103" t="s">
        <v>67</v>
      </c>
      <c r="B12" s="103" t="s">
        <v>128</v>
      </c>
      <c r="C12" s="104">
        <v>32000</v>
      </c>
      <c r="D12" s="104">
        <f>Tableau2[[#This Row],[Collecte
2020]]-Tableau2[[#This Row],[FS CAM FR]]-Tableau2[[#This Row],[MSF]]</f>
        <v>0</v>
      </c>
      <c r="E12" s="104"/>
      <c r="F12" s="104">
        <f>Tableau2[[#This Row],[Collecte
2020]]</f>
        <v>32000</v>
      </c>
      <c r="G12" s="105">
        <v>0.5</v>
      </c>
      <c r="H12" s="106">
        <f>Tableau2[[#This Row],[Collecte
2020]]/1000</f>
        <v>32</v>
      </c>
      <c r="I12" s="107" t="s">
        <v>163</v>
      </c>
      <c r="J12" s="108">
        <v>44105</v>
      </c>
    </row>
    <row r="13" spans="1:27" x14ac:dyDescent="0.25">
      <c r="A13" s="103" t="s">
        <v>67</v>
      </c>
      <c r="B13" s="103"/>
      <c r="C13" s="104">
        <v>34000</v>
      </c>
      <c r="D13" s="104">
        <f>Tableau2[[#This Row],[Collecte
2020]]-Tableau2[[#This Row],[FS CAM FR]]-Tableau2[[#This Row],[MSF]]</f>
        <v>0</v>
      </c>
      <c r="E13" s="104"/>
      <c r="F13" s="104">
        <f>Tableau2[[#This Row],[Collecte
2020]]</f>
        <v>34000</v>
      </c>
      <c r="G13" s="105">
        <v>0.6</v>
      </c>
      <c r="H13" s="106">
        <f>Tableau2[[#This Row],[Collecte
2020]]/1000</f>
        <v>34</v>
      </c>
      <c r="I13" s="107" t="s">
        <v>163</v>
      </c>
      <c r="J13" s="108">
        <v>44166</v>
      </c>
    </row>
    <row r="14" spans="1:27" x14ac:dyDescent="0.25">
      <c r="A14" s="103" t="s">
        <v>166</v>
      </c>
      <c r="B14" s="103" t="s">
        <v>187</v>
      </c>
      <c r="C14" s="104">
        <v>100000</v>
      </c>
      <c r="D14" s="104">
        <f>Tableau2[[#This Row],[Collecte
2020]]-Tableau2[[#This Row],[FS CAM FR]]-Tableau2[[#This Row],[MSF]]</f>
        <v>100000</v>
      </c>
      <c r="E14" s="104"/>
      <c r="F14" s="104"/>
      <c r="G14" s="105">
        <v>0.5</v>
      </c>
      <c r="H14" s="106">
        <f>Tableau2[[#This Row],[Collecte
2020]]/1000</f>
        <v>100</v>
      </c>
      <c r="I14" s="107" t="s">
        <v>163</v>
      </c>
      <c r="J14" s="108">
        <v>44075</v>
      </c>
    </row>
    <row r="15" spans="1:27" x14ac:dyDescent="0.25">
      <c r="A15" s="103" t="s">
        <v>74</v>
      </c>
      <c r="B15" s="103"/>
      <c r="C15" s="104">
        <v>3000</v>
      </c>
      <c r="D15" s="104">
        <f>Tableau2[[#This Row],[Collecte
2020]]-Tableau2[[#This Row],[FS CAM FR]]-Tableau2[[#This Row],[MSF]]</f>
        <v>0</v>
      </c>
      <c r="E15" s="104"/>
      <c r="F15" s="104">
        <v>3000</v>
      </c>
      <c r="G15" s="105">
        <v>0.7</v>
      </c>
      <c r="H15" s="106">
        <f>Tableau2[[#This Row],[Collecte
2020]]/1000</f>
        <v>3</v>
      </c>
      <c r="I15" s="107" t="s">
        <v>85</v>
      </c>
      <c r="J15" s="108">
        <v>43982</v>
      </c>
    </row>
    <row r="16" spans="1:27" x14ac:dyDescent="0.25">
      <c r="A16" s="103" t="s">
        <v>173</v>
      </c>
      <c r="B16" s="103"/>
      <c r="C16" s="104">
        <v>3000</v>
      </c>
      <c r="D16" s="104"/>
      <c r="E16" s="104"/>
      <c r="F16" s="104">
        <f ca="1">Tableau2[[#This Row],[Collecte
2020]]-Tableau2[[#This Row],[FS CAM FR]]-Tableau2[[#This Row],[MSF]]</f>
        <v>3000</v>
      </c>
      <c r="G16" s="105">
        <v>1</v>
      </c>
      <c r="H16" s="106">
        <f>Tableau2[[#This Row],[Collecte
2020]]/1000</f>
        <v>3</v>
      </c>
      <c r="I16" s="107" t="s">
        <v>163</v>
      </c>
      <c r="J16" s="108">
        <v>44044</v>
      </c>
    </row>
    <row r="17" spans="1:10" x14ac:dyDescent="0.25">
      <c r="A17" s="103" t="s">
        <v>68</v>
      </c>
      <c r="B17" s="103"/>
      <c r="C17" s="104">
        <v>7000</v>
      </c>
      <c r="D17" s="104">
        <f>Tableau2[[#This Row],[Collecte
2020]]-Tableau2[[#This Row],[FS CAM FR]]-Tableau2[[#This Row],[MSF]]</f>
        <v>0</v>
      </c>
      <c r="E17" s="104"/>
      <c r="F17" s="104">
        <f>Tableau2[[#This Row],[Collecte
2020]]</f>
        <v>7000</v>
      </c>
      <c r="G17" s="103"/>
      <c r="H17" s="106">
        <f>Tableau2[[#This Row],[Collecte
2020]]/1000</f>
        <v>7</v>
      </c>
      <c r="I17" s="107" t="s">
        <v>163</v>
      </c>
      <c r="J17" s="108">
        <v>44166</v>
      </c>
    </row>
    <row r="18" spans="1:10" x14ac:dyDescent="0.25">
      <c r="A18" s="103" t="s">
        <v>153</v>
      </c>
      <c r="B18" s="103"/>
      <c r="C18" s="104">
        <v>1064</v>
      </c>
      <c r="D18" s="104"/>
      <c r="E18" s="104"/>
      <c r="F18" s="104">
        <f ca="1">Tableau2[[#This Row],[Collecte
2020]]-Tableau2[[#This Row],[FS CAM FR]]-Tableau2[[#This Row],[MSF]]</f>
        <v>1064</v>
      </c>
      <c r="G18" s="103"/>
      <c r="H18" s="106">
        <f>Tableau2[[#This Row],[Collecte
2020]]/1000</f>
        <v>1.0640000000000001</v>
      </c>
      <c r="I18" s="107" t="s">
        <v>85</v>
      </c>
      <c r="J18" s="108">
        <v>43862</v>
      </c>
    </row>
    <row r="19" spans="1:10" x14ac:dyDescent="0.25">
      <c r="A19" s="103" t="s">
        <v>174</v>
      </c>
      <c r="B19" s="103"/>
      <c r="C19" s="104">
        <v>1000</v>
      </c>
      <c r="D19" s="104">
        <f>Tableau2[[#This Row],[Collecte
2020]]-Tableau2[[#This Row],[FS CAM FR]]-Tableau2[[#This Row],[MSF]]</f>
        <v>1000</v>
      </c>
      <c r="E19" s="104"/>
      <c r="F19" s="104"/>
      <c r="G19" s="105">
        <v>1</v>
      </c>
      <c r="H19" s="106">
        <f>Tableau2[[#This Row],[Collecte
2020]]/1000</f>
        <v>1</v>
      </c>
      <c r="I19" s="107" t="s">
        <v>163</v>
      </c>
      <c r="J19" s="107"/>
    </row>
    <row r="20" spans="1:10" x14ac:dyDescent="0.25">
      <c r="A20" s="103" t="s">
        <v>73</v>
      </c>
      <c r="B20" s="103" t="s">
        <v>172</v>
      </c>
      <c r="C20" s="104">
        <v>1000</v>
      </c>
      <c r="D20" s="104">
        <f>Tableau2[[#This Row],[Collecte
2020]]-Tableau2[[#This Row],[FS CAM FR]]-Tableau2[[#This Row],[MSF]]</f>
        <v>1000</v>
      </c>
      <c r="E20" s="104"/>
      <c r="F20" s="104"/>
      <c r="G20" s="103"/>
      <c r="H20" s="106">
        <f>Tableau2[[#This Row],[Collecte
2020]]/1000</f>
        <v>1</v>
      </c>
      <c r="I20" s="107" t="s">
        <v>85</v>
      </c>
      <c r="J20" s="108">
        <v>43851</v>
      </c>
    </row>
    <row r="21" spans="1:10" x14ac:dyDescent="0.25">
      <c r="A21" s="103" t="s">
        <v>77</v>
      </c>
      <c r="B21" s="103"/>
      <c r="C21" s="104">
        <v>10000</v>
      </c>
      <c r="D21" s="104">
        <f>Tableau2[[#This Row],[Collecte
2020]]-Tableau2[[#This Row],[FS CAM FR]]-Tableau2[[#This Row],[MSF]]</f>
        <v>10000</v>
      </c>
      <c r="E21" s="104"/>
      <c r="F21" s="104"/>
      <c r="G21" s="105">
        <v>0.9</v>
      </c>
      <c r="H21" s="106">
        <f>Tableau2[[#This Row],[Collecte
2020]]/1000</f>
        <v>10</v>
      </c>
      <c r="I21" s="107" t="s">
        <v>85</v>
      </c>
      <c r="J21" s="108">
        <v>43980</v>
      </c>
    </row>
    <row r="22" spans="1:10" x14ac:dyDescent="0.25">
      <c r="A22" s="103" t="s">
        <v>69</v>
      </c>
      <c r="B22" s="103" t="s">
        <v>168</v>
      </c>
      <c r="C22" s="104">
        <v>10000</v>
      </c>
      <c r="D22" s="104">
        <f>Tableau2[[#This Row],[Collecte
2020]]-Tableau2[[#This Row],[FS CAM FR]]-Tableau2[[#This Row],[MSF]]</f>
        <v>0</v>
      </c>
      <c r="E22" s="104">
        <v>10000</v>
      </c>
      <c r="F22" s="104"/>
      <c r="G22" s="103"/>
      <c r="H22" s="106">
        <f>Tableau2[[#This Row],[Collecte
2020]]/1000</f>
        <v>10</v>
      </c>
      <c r="I22" s="107" t="s">
        <v>85</v>
      </c>
      <c r="J22" s="108">
        <v>43958</v>
      </c>
    </row>
    <row r="23" spans="1:10" x14ac:dyDescent="0.25">
      <c r="A23" s="103" t="s">
        <v>69</v>
      </c>
      <c r="B23" s="103" t="s">
        <v>169</v>
      </c>
      <c r="C23" s="109">
        <v>28000</v>
      </c>
      <c r="D23" s="109">
        <f>Tableau2[[#This Row],[Collecte
2020]]-Tableau2[[#This Row],[FS CAM FR]]-Tableau2[[#This Row],[MSF]]</f>
        <v>0</v>
      </c>
      <c r="E23" s="109">
        <f>Tableau2[[#This Row],[Collecte
2020]]-Tableau2[[#This Row],[FS CAM FR]]</f>
        <v>25200</v>
      </c>
      <c r="F23" s="109">
        <f>Tableau2[[#This Row],[Collecte
2020]]*10/100</f>
        <v>2800</v>
      </c>
      <c r="G23" s="103"/>
      <c r="H23" s="106">
        <f>Tableau2[[#This Row],[Collecte
2020]]/1000</f>
        <v>28</v>
      </c>
      <c r="I23" s="107" t="s">
        <v>164</v>
      </c>
      <c r="J23" s="108">
        <v>43831</v>
      </c>
    </row>
    <row r="24" spans="1:10" x14ac:dyDescent="0.25">
      <c r="A24" s="103" t="s">
        <v>200</v>
      </c>
      <c r="B24" s="103" t="s">
        <v>201</v>
      </c>
      <c r="C24" s="104">
        <v>10000</v>
      </c>
      <c r="D24" s="104">
        <f>Tableau2[[#This Row],[Collecte
2020]]-Tableau2[[#This Row],[FS CAM FR]]-Tableau2[[#This Row],[MSF]]</f>
        <v>10000</v>
      </c>
      <c r="E24" s="104"/>
      <c r="F24" s="104"/>
      <c r="G24" s="105">
        <v>1</v>
      </c>
      <c r="H24" s="106">
        <f>Tableau2[[#This Row],[Collecte
2020]]/1000</f>
        <v>10</v>
      </c>
      <c r="I24" s="107" t="s">
        <v>85</v>
      </c>
      <c r="J24" s="108">
        <v>43922</v>
      </c>
    </row>
    <row r="25" spans="1:10" x14ac:dyDescent="0.25">
      <c r="A25" s="103" t="s">
        <v>75</v>
      </c>
      <c r="B25" s="103"/>
      <c r="C25" s="104">
        <v>5700</v>
      </c>
      <c r="D25" s="104">
        <f>Tableau2[[#This Row],[Collecte
2020]]-Tableau2[[#This Row],[FS CAM FR]]-Tableau2[[#This Row],[MSF]]</f>
        <v>5700</v>
      </c>
      <c r="E25" s="104"/>
      <c r="F25" s="104"/>
      <c r="G25" s="105">
        <v>1</v>
      </c>
      <c r="H25" s="106">
        <f>Tableau2[[#This Row],[Collecte
2020]]/1000</f>
        <v>5.7</v>
      </c>
      <c r="I25" s="107" t="s">
        <v>85</v>
      </c>
      <c r="J25" s="108">
        <v>43891</v>
      </c>
    </row>
    <row r="26" spans="1:10" x14ac:dyDescent="0.25">
      <c r="A26" s="103" t="s">
        <v>75</v>
      </c>
      <c r="B26" s="103" t="s">
        <v>170</v>
      </c>
      <c r="C26" s="104">
        <v>1000</v>
      </c>
      <c r="D26" s="104">
        <f>Tableau2[[#This Row],[Collecte
2020]]-Tableau2[[#This Row],[FS CAM FR]]-Tableau2[[#This Row],[MSF]]</f>
        <v>1000</v>
      </c>
      <c r="E26" s="104"/>
      <c r="F26" s="104"/>
      <c r="G26" s="105"/>
      <c r="H26" s="106">
        <f>Tableau2[[#This Row],[Collecte
2020]]/1000</f>
        <v>1</v>
      </c>
      <c r="I26" s="107" t="s">
        <v>85</v>
      </c>
      <c r="J26" s="108">
        <v>43979</v>
      </c>
    </row>
    <row r="27" spans="1:10" x14ac:dyDescent="0.25">
      <c r="A27" s="103" t="s">
        <v>75</v>
      </c>
      <c r="B27" s="103" t="s">
        <v>191</v>
      </c>
      <c r="C27" s="104">
        <v>12000</v>
      </c>
      <c r="D27" s="104">
        <f>Tableau2[[#This Row],[Collecte
2020]]-Tableau2[[#This Row],[FS CAM FR]]-Tableau2[[#This Row],[MSF]]</f>
        <v>12000</v>
      </c>
      <c r="E27" s="104"/>
      <c r="F27" s="104"/>
      <c r="G27" s="105"/>
      <c r="H27" s="106">
        <f>Tableau2[[#This Row],[Collecte
2020]]/1000</f>
        <v>12</v>
      </c>
      <c r="I27" s="107" t="s">
        <v>163</v>
      </c>
      <c r="J27" s="108">
        <v>44104</v>
      </c>
    </row>
    <row r="28" spans="1:10" x14ac:dyDescent="0.25">
      <c r="A28" s="103" t="s">
        <v>70</v>
      </c>
      <c r="B28" s="103" t="s">
        <v>115</v>
      </c>
      <c r="C28" s="104">
        <v>20000</v>
      </c>
      <c r="D28" s="109">
        <f>Tableau2[[#This Row],[Collecte
2020]]-Tableau2[[#This Row],[FS CAM FR]]-Tableau2[[#This Row],[MSF]]</f>
        <v>20000</v>
      </c>
      <c r="E28" s="104"/>
      <c r="F28" s="104"/>
      <c r="G28" s="105">
        <v>0.5</v>
      </c>
      <c r="H28" s="106">
        <f>Tableau2[[#This Row],[Collecte
2020]]/1000</f>
        <v>20</v>
      </c>
      <c r="I28" s="107" t="s">
        <v>163</v>
      </c>
      <c r="J28" s="108">
        <v>44075</v>
      </c>
    </row>
    <row r="29" spans="1:10" x14ac:dyDescent="0.25">
      <c r="A29" s="103" t="s">
        <v>76</v>
      </c>
      <c r="B29" s="103"/>
      <c r="C29" s="104">
        <v>10000</v>
      </c>
      <c r="D29" s="104">
        <f>Tableau2[[#This Row],[Collecte
2020]]-Tableau2[[#This Row],[FS CAM FR]]-Tableau2[[#This Row],[MSF]]</f>
        <v>10000</v>
      </c>
      <c r="E29" s="104"/>
      <c r="F29" s="104"/>
      <c r="G29" s="105">
        <v>0.5</v>
      </c>
      <c r="H29" s="106">
        <f>Tableau2[[#This Row],[Collecte
2020]]/1000</f>
        <v>10</v>
      </c>
      <c r="I29" s="107" t="s">
        <v>162</v>
      </c>
      <c r="J29" s="108">
        <v>43891</v>
      </c>
    </row>
    <row r="30" spans="1:10" x14ac:dyDescent="0.25">
      <c r="A30" s="103" t="s">
        <v>72</v>
      </c>
      <c r="B30" s="103" t="s">
        <v>165</v>
      </c>
      <c r="C30" s="104">
        <v>21750</v>
      </c>
      <c r="D30" s="104">
        <f>Tableau2[[#This Row],[Collecte
2020]]-Tableau2[[#This Row],[FS CAM FR]]-Tableau2[[#This Row],[MSF]]</f>
        <v>21750</v>
      </c>
      <c r="E30" s="104"/>
      <c r="F30" s="104"/>
      <c r="G30" s="105"/>
      <c r="H30" s="106">
        <f>Tableau2[[#This Row],[Collecte
2020]]/1000</f>
        <v>21.75</v>
      </c>
      <c r="I30" s="107" t="s">
        <v>162</v>
      </c>
      <c r="J30" s="108">
        <v>44013</v>
      </c>
    </row>
    <row r="31" spans="1:10" x14ac:dyDescent="0.25">
      <c r="A31" s="103" t="s">
        <v>71</v>
      </c>
      <c r="B31" s="103" t="s">
        <v>184</v>
      </c>
      <c r="C31" s="104">
        <v>13500</v>
      </c>
      <c r="D31" s="104">
        <f>Tableau2[[#This Row],[Collecte
2020]]-Tableau2[[#This Row],[FS CAM FR]]-Tableau2[[#This Row],[MSF]]</f>
        <v>13500</v>
      </c>
      <c r="E31" s="104"/>
      <c r="F31" s="104"/>
      <c r="G31" s="103"/>
      <c r="H31" s="106">
        <f>Tableau2[[#This Row],[Collecte
2020]]/1000</f>
        <v>13.5</v>
      </c>
      <c r="I31" s="107" t="s">
        <v>164</v>
      </c>
      <c r="J31" s="108">
        <v>44136</v>
      </c>
    </row>
    <row r="32" spans="1:10" x14ac:dyDescent="0.25">
      <c r="A32" s="104" t="s">
        <v>171</v>
      </c>
      <c r="B32" s="104"/>
      <c r="C32" s="104">
        <v>15000</v>
      </c>
      <c r="D32" s="104"/>
      <c r="E32" s="104">
        <v>15000</v>
      </c>
      <c r="F32" s="104"/>
      <c r="G32" s="103"/>
      <c r="H32" s="106">
        <f>Tableau2[[#This Row],[Collecte
2020]]/1000</f>
        <v>15</v>
      </c>
      <c r="I32" s="107" t="s">
        <v>163</v>
      </c>
      <c r="J32" s="108">
        <v>44104</v>
      </c>
    </row>
    <row r="33" spans="1:14" x14ac:dyDescent="0.25">
      <c r="A33" s="103" t="s">
        <v>190</v>
      </c>
      <c r="B33" s="103"/>
      <c r="C33" s="104">
        <v>10000</v>
      </c>
      <c r="D33" s="104"/>
      <c r="E33" s="104">
        <v>10000</v>
      </c>
      <c r="F33" s="104"/>
      <c r="G33" s="103"/>
      <c r="H33" s="106">
        <f>Tableau2[[#This Row],[Collecte
2020]]/1000</f>
        <v>10</v>
      </c>
      <c r="I33" s="107" t="s">
        <v>163</v>
      </c>
      <c r="J33" s="108">
        <v>44104</v>
      </c>
    </row>
    <row r="34" spans="1:14" x14ac:dyDescent="0.25">
      <c r="A34" s="103" t="s">
        <v>126</v>
      </c>
      <c r="B34" s="103"/>
      <c r="C34" s="104">
        <v>1000</v>
      </c>
      <c r="D34" s="104">
        <f>Tableau2[[#This Row],[Collecte
2020]]-Tableau2[[#This Row],[FS CAM FR]]-Tableau2[[#This Row],[MSF]]</f>
        <v>0</v>
      </c>
      <c r="E34" s="104"/>
      <c r="F34" s="104">
        <f>Tableau2[[#This Row],[Collecte
2020]]</f>
        <v>1000</v>
      </c>
      <c r="G34" s="103"/>
      <c r="H34" s="106">
        <f>Tableau2[[#This Row],[Collecte
2020]]/1000</f>
        <v>1</v>
      </c>
      <c r="I34" s="107" t="s">
        <v>163</v>
      </c>
      <c r="J34" s="108">
        <v>44105</v>
      </c>
    </row>
    <row r="35" spans="1:14" x14ac:dyDescent="0.25">
      <c r="A35" s="103" t="s">
        <v>185</v>
      </c>
      <c r="B35" s="103"/>
      <c r="C35" s="104">
        <v>10000</v>
      </c>
      <c r="D35" s="104">
        <f>Tableau2[[#This Row],[Collecte
2020]]-Tableau2[[#This Row],[FS CAM FR]]-Tableau2[[#This Row],[MSF]]</f>
        <v>10000</v>
      </c>
      <c r="E35" s="104"/>
      <c r="F35" s="104"/>
      <c r="G35" s="105">
        <v>0.5</v>
      </c>
      <c r="H35" s="106">
        <f>Tableau2[[#This Row],[Collecte
2020]]/1000</f>
        <v>10</v>
      </c>
      <c r="I35" s="107" t="s">
        <v>163</v>
      </c>
      <c r="J35" s="108">
        <v>44013</v>
      </c>
    </row>
    <row r="36" spans="1:14" x14ac:dyDescent="0.25">
      <c r="A36" s="103" t="s">
        <v>192</v>
      </c>
      <c r="B36" s="103" t="s">
        <v>118</v>
      </c>
      <c r="C36" s="104">
        <v>25000</v>
      </c>
      <c r="D36" s="104">
        <f>Tableau2[[#This Row],[Collecte
2020]]-Tableau2[[#This Row],[FS CAM FR]]-Tableau2[[#This Row],[MSF]]</f>
        <v>0</v>
      </c>
      <c r="E36" s="104">
        <v>25000</v>
      </c>
      <c r="F36" s="104"/>
      <c r="G36" s="103"/>
      <c r="H36" s="106">
        <f>Tableau2[[#This Row],[Collecte
2020]]/1000</f>
        <v>25</v>
      </c>
      <c r="I36" s="107" t="s">
        <v>164</v>
      </c>
      <c r="J36" s="108">
        <v>43966</v>
      </c>
    </row>
    <row r="37" spans="1:14" x14ac:dyDescent="0.25">
      <c r="A37" s="103" t="s">
        <v>199</v>
      </c>
      <c r="B37" s="103"/>
      <c r="C37" s="104">
        <v>5000</v>
      </c>
      <c r="D37" s="104">
        <f>Tableau2[[#This Row],[Collecte
2020]]-Tableau2[[#This Row],[FS CAM FR]]-Tableau2[[#This Row],[MSF]]</f>
        <v>5000</v>
      </c>
      <c r="E37" s="104"/>
      <c r="F37" s="104"/>
      <c r="G37" s="103"/>
      <c r="H37" s="106">
        <f>Tableau2[[#This Row],[Collecte
2020]]/1000</f>
        <v>5</v>
      </c>
      <c r="I37" s="107" t="s">
        <v>163</v>
      </c>
      <c r="J37" s="108">
        <v>44075</v>
      </c>
    </row>
    <row r="38" spans="1:14" x14ac:dyDescent="0.25">
      <c r="A38" s="103" t="s">
        <v>206</v>
      </c>
      <c r="B38" s="103" t="s">
        <v>201</v>
      </c>
      <c r="C38" s="104">
        <v>6050</v>
      </c>
      <c r="D38" s="104">
        <f>Tableau2[[#This Row],[Collecte
2020]]-Tableau2[[#This Row],[FS CAM FR]]-Tableau2[[#This Row],[MSF]]</f>
        <v>6050</v>
      </c>
      <c r="E38" s="104"/>
      <c r="F38" s="104"/>
      <c r="G38" s="105">
        <v>0.9</v>
      </c>
      <c r="H38" s="106">
        <f>Tableau2[[#This Row],[Collecte
2020]]/1000</f>
        <v>6.05</v>
      </c>
      <c r="I38" s="107" t="s">
        <v>85</v>
      </c>
      <c r="J38" s="108">
        <v>43891</v>
      </c>
    </row>
    <row r="39" spans="1:14" x14ac:dyDescent="0.25">
      <c r="A39" s="103" t="s">
        <v>206</v>
      </c>
      <c r="B39" s="103" t="s">
        <v>207</v>
      </c>
      <c r="C39" s="104">
        <v>7800</v>
      </c>
      <c r="D39" s="104"/>
      <c r="E39" s="104">
        <f ca="1">Tableau2[[#This Row],[Collecte
2020]]-Tableau2[[#This Row],[FS CAM FR]]-Tableau2[[#This Row],[MSF]]</f>
        <v>7800</v>
      </c>
      <c r="F39" s="104"/>
      <c r="G39" s="105"/>
      <c r="H39" s="106">
        <f>Tableau2[[#This Row],[Collecte
2020]]/1000</f>
        <v>7.8</v>
      </c>
      <c r="I39" s="107" t="s">
        <v>85</v>
      </c>
      <c r="J39" s="108">
        <v>43950</v>
      </c>
    </row>
    <row r="40" spans="1:14" x14ac:dyDescent="0.25">
      <c r="A40" s="107" t="s">
        <v>160</v>
      </c>
      <c r="B40" s="104"/>
      <c r="C40" s="104">
        <v>250</v>
      </c>
      <c r="D40" s="104"/>
      <c r="E40" s="104"/>
      <c r="F40" s="104"/>
      <c r="G40" s="105">
        <v>0.5</v>
      </c>
      <c r="H40" s="106">
        <f>Tableau2[[#This Row],[Collecte
2020]]/1000</f>
        <v>0.25</v>
      </c>
      <c r="I40" s="107" t="s">
        <v>85</v>
      </c>
      <c r="J40" s="108">
        <v>43935</v>
      </c>
    </row>
    <row r="41" spans="1:14" x14ac:dyDescent="0.25">
      <c r="A41" s="103" t="s">
        <v>78</v>
      </c>
      <c r="B41" s="103"/>
      <c r="C41" s="104"/>
      <c r="D41" s="104">
        <f>Tableau2[[#This Row],[Collecte
2020]]-Tableau2[[#This Row],[FS CAM FR]]-Tableau2[[#This Row],[MSF]]</f>
        <v>0</v>
      </c>
      <c r="E41" s="104"/>
      <c r="F41" s="104"/>
      <c r="G41" s="103"/>
      <c r="H41" s="106">
        <f>Tableau2[[#This Row],[Collecte
2020]]/1000</f>
        <v>0</v>
      </c>
      <c r="I41" s="107" t="s">
        <v>82</v>
      </c>
      <c r="J41" s="107"/>
    </row>
    <row r="42" spans="1:14" x14ac:dyDescent="0.25">
      <c r="A42" s="103" t="s">
        <v>212</v>
      </c>
      <c r="B42" s="103"/>
      <c r="C42" s="104"/>
      <c r="D42" s="104">
        <f>Tableau2[[#This Row],[Collecte
2020]]-Tableau2[[#This Row],[FS CAM FR]]-Tableau2[[#This Row],[MSF]]</f>
        <v>0</v>
      </c>
      <c r="E42" s="104"/>
      <c r="F42" s="104"/>
      <c r="G42" s="103"/>
      <c r="H42" s="106">
        <f>Tableau2[[#This Row],[Collecte
2020]]/1000</f>
        <v>0</v>
      </c>
      <c r="I42" s="107" t="s">
        <v>82</v>
      </c>
      <c r="J42" s="107"/>
    </row>
    <row r="43" spans="1:14" x14ac:dyDescent="0.25">
      <c r="A43" s="103" t="s">
        <v>79</v>
      </c>
      <c r="B43" s="103" t="s">
        <v>115</v>
      </c>
      <c r="C43" s="104">
        <v>100000</v>
      </c>
      <c r="D43" s="104">
        <f>Tableau2[[#This Row],[Collecte
2020]]-Tableau2[[#This Row],[FS CAM FR]]-Tableau2[[#This Row],[MSF]]</f>
        <v>100000</v>
      </c>
      <c r="E43" s="104"/>
      <c r="F43" s="104"/>
      <c r="G43" s="103"/>
      <c r="H43" s="106">
        <f>Tableau2[[#This Row],[Collecte
2020]]/1000</f>
        <v>100</v>
      </c>
      <c r="I43" s="107" t="s">
        <v>82</v>
      </c>
      <c r="J43" s="107"/>
    </row>
    <row r="44" spans="1:14" x14ac:dyDescent="0.25">
      <c r="A44" s="103" t="s">
        <v>183</v>
      </c>
      <c r="B44" s="103"/>
      <c r="C44" s="104">
        <v>5000</v>
      </c>
      <c r="D44" s="104">
        <f>Tableau2[[#This Row],[Collecte
2020]]-Tableau2[[#This Row],[FS CAM FR]]-Tableau2[[#This Row],[MSF]]</f>
        <v>5000</v>
      </c>
      <c r="E44" s="104"/>
      <c r="F44" s="104"/>
      <c r="G44" s="103"/>
      <c r="H44" s="106">
        <f>Tableau2[[#This Row],[Collecte
2020]]/1000</f>
        <v>5</v>
      </c>
      <c r="I44" s="107" t="s">
        <v>82</v>
      </c>
      <c r="J44" s="107"/>
    </row>
    <row r="45" spans="1:14" x14ac:dyDescent="0.25">
      <c r="A45" s="103" t="s">
        <v>208</v>
      </c>
      <c r="B45" s="103"/>
      <c r="C45" s="104">
        <v>8550</v>
      </c>
      <c r="D45" s="104"/>
      <c r="E45" s="104"/>
      <c r="F45" s="104">
        <f ca="1">Tableau2[[#This Row],[Collecte
2020]]-Tableau2[[#This Row],[FS CAM FR]]-Tableau2[[#This Row],[MSF]]</f>
        <v>8550</v>
      </c>
      <c r="G45" s="103"/>
      <c r="H45" s="106">
        <f>Tableau2[[#This Row],[Collecte
2020]]/1000</f>
        <v>8.5500000000000007</v>
      </c>
      <c r="I45" s="107" t="s">
        <v>163</v>
      </c>
      <c r="J45" s="107"/>
    </row>
    <row r="46" spans="1:14" x14ac:dyDescent="0.25">
      <c r="A46" s="103" t="s">
        <v>202</v>
      </c>
      <c r="B46" s="103"/>
      <c r="C46" s="104">
        <v>1800</v>
      </c>
      <c r="D46" s="104">
        <f>Tableau2[[#This Row],[Collecte
2020]]-Tableau2[[#This Row],[FS CAM FR]]-Tableau2[[#This Row],[MSF]]</f>
        <v>0</v>
      </c>
      <c r="E46" s="104"/>
      <c r="F46" s="104">
        <v>1800</v>
      </c>
      <c r="G46" s="103"/>
      <c r="H46" s="106">
        <f>Tableau2[[#This Row],[Collecte
2020]]/1000</f>
        <v>1.8</v>
      </c>
      <c r="I46" s="107" t="s">
        <v>163</v>
      </c>
      <c r="J46" s="108">
        <v>44104</v>
      </c>
    </row>
    <row r="47" spans="1:14" x14ac:dyDescent="0.25">
      <c r="A47" s="103" t="s">
        <v>205</v>
      </c>
      <c r="B47" s="103"/>
      <c r="C47" s="104">
        <v>70000</v>
      </c>
      <c r="D47" s="104"/>
      <c r="E47" s="104"/>
      <c r="F47" s="104">
        <f ca="1">Tableau2[[#This Row],[Collecte
2020]]-Tableau2[[#This Row],[FS CAM FR]]-Tableau2[[#This Row],[MSF]]</f>
        <v>70000</v>
      </c>
      <c r="G47" s="103"/>
      <c r="H47" s="106">
        <f>Tableau2[[#This Row],[Collecte
2020]]/1000</f>
        <v>70</v>
      </c>
      <c r="I47" s="107" t="s">
        <v>163</v>
      </c>
      <c r="J47" s="108">
        <v>44196</v>
      </c>
      <c r="N47" s="40"/>
    </row>
    <row r="48" spans="1:14" x14ac:dyDescent="0.25">
      <c r="A48" s="103" t="s">
        <v>196</v>
      </c>
      <c r="B48" s="103"/>
      <c r="C48" s="104">
        <v>10000</v>
      </c>
      <c r="D48" s="104">
        <f>Tableau2[[#This Row],[Collecte
2020]]-Tableau2[[#This Row],[FS CAM FR]]-Tableau2[[#This Row],[MSF]]</f>
        <v>0</v>
      </c>
      <c r="E48" s="104"/>
      <c r="F48" s="104">
        <f>Tableau2[[#This Row],[Collecte
2020]]</f>
        <v>10000</v>
      </c>
      <c r="G48" s="105">
        <v>1</v>
      </c>
      <c r="H48" s="106">
        <f>Tableau2[[#This Row],[Collecte
2020]]/1000</f>
        <v>10</v>
      </c>
      <c r="I48" s="107" t="s">
        <v>82</v>
      </c>
      <c r="J48" s="107"/>
    </row>
    <row r="49" spans="1:10" x14ac:dyDescent="0.25">
      <c r="A49" s="103" t="s">
        <v>161</v>
      </c>
      <c r="B49" s="103"/>
      <c r="C49" s="104">
        <v>3000</v>
      </c>
      <c r="D49" s="104">
        <f>Tableau2[[#This Row],[Collecte
2020]]-Tableau2[[#This Row],[FS CAM FR]]-Tableau2[[#This Row],[MSF]]</f>
        <v>0</v>
      </c>
      <c r="E49" s="104"/>
      <c r="F49" s="104">
        <v>3000</v>
      </c>
      <c r="G49" s="103"/>
      <c r="H49" s="106">
        <f>Tableau2[[#This Row],[Collecte
2020]]/1000</f>
        <v>3</v>
      </c>
      <c r="I49" s="107" t="s">
        <v>82</v>
      </c>
      <c r="J49" s="108">
        <v>44013</v>
      </c>
    </row>
    <row r="50" spans="1:10" x14ac:dyDescent="0.25">
      <c r="A50" s="103" t="s">
        <v>167</v>
      </c>
      <c r="B50" s="103"/>
      <c r="C50" s="104">
        <v>20000</v>
      </c>
      <c r="D50" s="104">
        <f>Tableau2[[#This Row],[Collecte
2020]]-Tableau2[[#This Row],[FS CAM FR]]-Tableau2[[#This Row],[MSF]]</f>
        <v>20000</v>
      </c>
      <c r="E50" s="104"/>
      <c r="F50" s="104"/>
      <c r="G50" s="103"/>
      <c r="H50" s="106">
        <f>Tableau2[[#This Row],[Collecte
2020]]/1000</f>
        <v>20</v>
      </c>
      <c r="I50" s="107" t="s">
        <v>82</v>
      </c>
      <c r="J50" s="108"/>
    </row>
  </sheetData>
  <phoneticPr fontId="13" type="noConversion"/>
  <pageMargins left="0.7" right="0.7" top="0.75" bottom="0.75" header="0.3" footer="0.3"/>
  <pageSetup paperSize="9" orientation="portrait" horizontalDpi="300" verticalDpi="300"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TDB</vt:lpstr>
      <vt:lpstr>Notice explication</vt:lpstr>
      <vt:lpstr>Indicateurs Ressources</vt:lpstr>
      <vt:lpstr>TCD PArtenariats</vt:lpstr>
      <vt:lpstr>Partenariats</vt:lpstr>
      <vt:lpstr>TDB!Zone_d_impression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CAMELEON</dc:creator>
  <cp:lastModifiedBy>CAMELEON</cp:lastModifiedBy>
  <cp:lastPrinted>2020-02-11T18:00:10Z</cp:lastPrinted>
  <dcterms:created xsi:type="dcterms:W3CDTF">2020-01-07T15:50:24Z</dcterms:created>
  <dcterms:modified xsi:type="dcterms:W3CDTF">2020-07-07T14:10:06Z</dcterms:modified>
</cp:coreProperties>
</file>